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bern\Downloads\"/>
    </mc:Choice>
  </mc:AlternateContent>
  <xr:revisionPtr revIDLastSave="0" documentId="13_ncr:1_{72E086AF-AC2D-4123-AE17-2B4ADFCCB37F}" xr6:coauthVersionLast="47" xr6:coauthVersionMax="47" xr10:uidLastSave="{00000000-0000-0000-0000-000000000000}"/>
  <bookViews>
    <workbookView xWindow="-120" yWindow="-120" windowWidth="29040" windowHeight="15720" firstSheet="1" activeTab="10" xr2:uid="{9A78B743-0982-4A45-BDB7-77A7E2E49598}"/>
  </bookViews>
  <sheets>
    <sheet name="Spores" sheetId="1" r:id="rId1"/>
    <sheet name="Biomass_Zn_Cu" sheetId="2" r:id="rId2"/>
    <sheet name="MET degradation" sheetId="3" r:id="rId3"/>
    <sheet name="Biomass" sheetId="4" r:id="rId4"/>
    <sheet name="Ergosterol" sheetId="5" r:id="rId5"/>
    <sheet name="catalase" sheetId="6" r:id="rId6"/>
    <sheet name="SOD" sheetId="7" r:id="rId7"/>
    <sheet name="Proteins" sheetId="8" r:id="rId8"/>
    <sheet name="TBARS" sheetId="9" r:id="rId9"/>
    <sheet name="Phospholipids" sheetId="10" r:id="rId10"/>
    <sheet name="Permeability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0" i="10" l="1" a="1"/>
  <c r="P30" i="10" s="1"/>
  <c r="O30" i="10" a="1"/>
  <c r="O30" i="10" s="1"/>
  <c r="N30" i="10" a="1"/>
  <c r="N30" i="10" s="1"/>
  <c r="M30" i="10" a="1"/>
  <c r="M30" i="10" s="1"/>
  <c r="L30" i="10" a="1"/>
  <c r="L30" i="10" s="1"/>
  <c r="K30" i="10" a="1"/>
  <c r="K30" i="10" s="1"/>
  <c r="J30" i="10" a="1"/>
  <c r="J30" i="10" s="1"/>
  <c r="I30" i="10" a="1"/>
  <c r="I30" i="10" s="1"/>
  <c r="H30" i="10" a="1"/>
  <c r="H30" i="10" s="1"/>
  <c r="G30" i="10" a="1"/>
  <c r="G30" i="10" s="1"/>
  <c r="F30" i="10" a="1"/>
  <c r="F30" i="10" s="1"/>
  <c r="E30" i="10" a="1"/>
  <c r="E30" i="10" s="1"/>
  <c r="D30" i="10" a="1"/>
  <c r="D30" i="10" s="1"/>
  <c r="C30" i="10" a="1"/>
  <c r="C30" i="10" s="1"/>
  <c r="B30" i="10" a="1"/>
  <c r="B30" i="10" s="1"/>
  <c r="P29" i="10" a="1"/>
  <c r="P29" i="10" s="1"/>
  <c r="O29" i="10" a="1"/>
  <c r="O29" i="10" s="1"/>
  <c r="N29" i="10" a="1"/>
  <c r="N29" i="10" s="1"/>
  <c r="M29" i="10" a="1"/>
  <c r="M29" i="10" s="1"/>
  <c r="L29" i="10" a="1"/>
  <c r="L29" i="10" s="1"/>
  <c r="K29" i="10" a="1"/>
  <c r="K29" i="10" s="1"/>
  <c r="J29" i="10" a="1"/>
  <c r="J29" i="10" s="1"/>
  <c r="I29" i="10" a="1"/>
  <c r="I29" i="10" s="1"/>
  <c r="H29" i="10" a="1"/>
  <c r="H29" i="10" s="1"/>
  <c r="G29" i="10" a="1"/>
  <c r="G29" i="10" s="1"/>
  <c r="F29" i="10" a="1"/>
  <c r="F29" i="10" s="1"/>
  <c r="E29" i="10" a="1"/>
  <c r="E29" i="10" s="1"/>
  <c r="D29" i="10" a="1"/>
  <c r="D29" i="10" s="1"/>
  <c r="C29" i="10" a="1"/>
  <c r="C29" i="10" s="1"/>
  <c r="B29" i="10" a="1"/>
  <c r="B29" i="10" s="1"/>
  <c r="P28" i="10" a="1"/>
  <c r="P28" i="10" s="1"/>
  <c r="O28" i="10" a="1"/>
  <c r="O28" i="10" s="1"/>
  <c r="N28" i="10" a="1"/>
  <c r="N28" i="10" s="1"/>
  <c r="M28" i="10" a="1"/>
  <c r="M28" i="10" s="1"/>
  <c r="L28" i="10" a="1"/>
  <c r="L28" i="10" s="1"/>
  <c r="K28" i="10" a="1"/>
  <c r="K28" i="10" s="1"/>
  <c r="J28" i="10" a="1"/>
  <c r="J28" i="10" s="1"/>
  <c r="I28" i="10" a="1"/>
  <c r="I28" i="10" s="1"/>
  <c r="H28" i="10" a="1"/>
  <c r="H28" i="10" s="1"/>
  <c r="G28" i="10" a="1"/>
  <c r="G28" i="10" s="1"/>
  <c r="F28" i="10" a="1"/>
  <c r="F28" i="10" s="1"/>
  <c r="E28" i="10" a="1"/>
  <c r="E28" i="10" s="1"/>
  <c r="D28" i="10" a="1"/>
  <c r="D28" i="10" s="1"/>
  <c r="C28" i="10" a="1"/>
  <c r="C28" i="10" s="1"/>
  <c r="B28" i="10" a="1"/>
  <c r="B28" i="10" s="1"/>
  <c r="P27" i="10" a="1"/>
  <c r="P27" i="10" s="1"/>
  <c r="O27" i="10" a="1"/>
  <c r="O27" i="10" s="1"/>
  <c r="N27" i="10" a="1"/>
  <c r="N27" i="10" s="1"/>
  <c r="M27" i="10" a="1"/>
  <c r="M27" i="10" s="1"/>
  <c r="L27" i="10" a="1"/>
  <c r="L27" i="10" s="1"/>
  <c r="K27" i="10" a="1"/>
  <c r="K27" i="10" s="1"/>
  <c r="J27" i="10" a="1"/>
  <c r="J27" i="10" s="1"/>
  <c r="I27" i="10" a="1"/>
  <c r="I27" i="10" s="1"/>
  <c r="H27" i="10" a="1"/>
  <c r="H27" i="10" s="1"/>
  <c r="G27" i="10" a="1"/>
  <c r="G27" i="10" s="1"/>
  <c r="F27" i="10" a="1"/>
  <c r="F27" i="10" s="1"/>
  <c r="E27" i="10" a="1"/>
  <c r="E27" i="10" s="1"/>
  <c r="D27" i="10" a="1"/>
  <c r="D27" i="10" s="1"/>
  <c r="C27" i="10" a="1"/>
  <c r="C27" i="10" s="1"/>
  <c r="B27" i="10" a="1"/>
  <c r="B27" i="10" s="1"/>
  <c r="P26" i="10" a="1"/>
  <c r="P26" i="10" s="1"/>
  <c r="O26" i="10" a="1"/>
  <c r="O26" i="10" s="1"/>
  <c r="N26" i="10" a="1"/>
  <c r="N26" i="10" s="1"/>
  <c r="M26" i="10" a="1"/>
  <c r="M26" i="10" s="1"/>
  <c r="L26" i="10" a="1"/>
  <c r="L26" i="10" s="1"/>
  <c r="K26" i="10" a="1"/>
  <c r="K26" i="10" s="1"/>
  <c r="J26" i="10" a="1"/>
  <c r="J26" i="10" s="1"/>
  <c r="I26" i="10" a="1"/>
  <c r="I26" i="10" s="1"/>
  <c r="H26" i="10" a="1"/>
  <c r="H26" i="10" s="1"/>
  <c r="G26" i="10" a="1"/>
  <c r="G26" i="10" s="1"/>
  <c r="F26" i="10" a="1"/>
  <c r="F26" i="10" s="1"/>
  <c r="E26" i="10" a="1"/>
  <c r="E26" i="10" s="1"/>
  <c r="D26" i="10" a="1"/>
  <c r="D26" i="10" s="1"/>
  <c r="C26" i="10" a="1"/>
  <c r="C26" i="10" s="1"/>
  <c r="B26" i="10" a="1"/>
  <c r="B26" i="10" s="1"/>
  <c r="P22" i="10" a="1"/>
  <c r="P22" i="10" s="1"/>
  <c r="O22" i="10" a="1"/>
  <c r="O22" i="10" s="1"/>
  <c r="N22" i="10" a="1"/>
  <c r="N22" i="10" s="1"/>
  <c r="M22" i="10" a="1"/>
  <c r="M22" i="10" s="1"/>
  <c r="L22" i="10" a="1"/>
  <c r="L22" i="10" s="1"/>
  <c r="K22" i="10" a="1"/>
  <c r="K22" i="10" s="1"/>
  <c r="J22" i="10" a="1"/>
  <c r="J22" i="10" s="1"/>
  <c r="I22" i="10" a="1"/>
  <c r="I22" i="10" s="1"/>
  <c r="H22" i="10" a="1"/>
  <c r="H22" i="10" s="1"/>
  <c r="G22" i="10" a="1"/>
  <c r="G22" i="10" s="1"/>
  <c r="F22" i="10" a="1"/>
  <c r="F22" i="10" s="1"/>
  <c r="E22" i="10" a="1"/>
  <c r="E22" i="10" s="1"/>
  <c r="D22" i="10" a="1"/>
  <c r="D22" i="10" s="1"/>
  <c r="C22" i="10" a="1"/>
  <c r="C22" i="10" s="1"/>
  <c r="B22" i="10" a="1"/>
  <c r="B22" i="10" s="1"/>
  <c r="P21" i="10" a="1"/>
  <c r="P21" i="10" s="1"/>
  <c r="O21" i="10" a="1"/>
  <c r="O21" i="10" s="1"/>
  <c r="N21" i="10" a="1"/>
  <c r="N21" i="10" s="1"/>
  <c r="M21" i="10" a="1"/>
  <c r="M21" i="10" s="1"/>
  <c r="L21" i="10" a="1"/>
  <c r="L21" i="10" s="1"/>
  <c r="K21" i="10" a="1"/>
  <c r="K21" i="10" s="1"/>
  <c r="J21" i="10" a="1"/>
  <c r="J21" i="10" s="1"/>
  <c r="I21" i="10" a="1"/>
  <c r="I21" i="10" s="1"/>
  <c r="H21" i="10" a="1"/>
  <c r="H21" i="10" s="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P20" i="10" a="1"/>
  <c r="P20" i="10" s="1"/>
  <c r="O20" i="10" a="1"/>
  <c r="O20" i="10" s="1"/>
  <c r="N20" i="10" a="1"/>
  <c r="N20" i="10" s="1"/>
  <c r="M20" i="10" a="1"/>
  <c r="M20" i="10" s="1"/>
  <c r="L20" i="10" a="1"/>
  <c r="L20" i="10" s="1"/>
  <c r="K20" i="10" a="1"/>
  <c r="K20" i="10" s="1"/>
  <c r="J20" i="10" a="1"/>
  <c r="J20" i="10" s="1"/>
  <c r="I20" i="10" a="1"/>
  <c r="I20" i="10" s="1"/>
  <c r="H20" i="10" a="1"/>
  <c r="H20" i="10" s="1"/>
  <c r="G20" i="10" a="1"/>
  <c r="G20" i="10" s="1"/>
  <c r="F20" i="10" a="1"/>
  <c r="F20" i="10" s="1"/>
  <c r="E20" i="10" a="1"/>
  <c r="E20" i="10" s="1"/>
  <c r="D20" i="10" a="1"/>
  <c r="D20" i="10" s="1"/>
  <c r="C20" i="10" a="1"/>
  <c r="C20" i="10" s="1"/>
  <c r="B20" i="10" a="1"/>
  <c r="B20" i="10" s="1"/>
  <c r="P19" i="10" a="1"/>
  <c r="P19" i="10" s="1"/>
  <c r="O19" i="10" a="1"/>
  <c r="O19" i="10" s="1"/>
  <c r="N19" i="10" a="1"/>
  <c r="N19" i="10" s="1"/>
  <c r="M19" i="10" a="1"/>
  <c r="M19" i="10" s="1"/>
  <c r="L19" i="10" a="1"/>
  <c r="L19" i="10" s="1"/>
  <c r="K19" i="10" a="1"/>
  <c r="K19" i="10" s="1"/>
  <c r="J19" i="10" a="1"/>
  <c r="J19" i="10" s="1"/>
  <c r="I19" i="10" a="1"/>
  <c r="I19" i="10" s="1"/>
  <c r="H19" i="10" a="1"/>
  <c r="H19" i="10" s="1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P18" i="10" a="1"/>
  <c r="P18" i="10" s="1"/>
  <c r="O18" i="10" a="1"/>
  <c r="O18" i="10" s="1"/>
  <c r="N18" i="10" a="1"/>
  <c r="N18" i="10" s="1"/>
  <c r="M18" i="10" a="1"/>
  <c r="M18" i="10" s="1"/>
  <c r="L18" i="10" a="1"/>
  <c r="L18" i="10" s="1"/>
  <c r="K18" i="10" a="1"/>
  <c r="K18" i="10" s="1"/>
  <c r="J18" i="10" a="1"/>
  <c r="J18" i="10" s="1"/>
  <c r="I18" i="10" a="1"/>
  <c r="I18" i="10" s="1"/>
  <c r="H18" i="10" a="1"/>
  <c r="H18" i="10" s="1"/>
  <c r="G18" i="10" a="1"/>
  <c r="G18" i="10" s="1"/>
  <c r="F18" i="10" a="1"/>
  <c r="F18" i="10" s="1"/>
  <c r="E18" i="10" a="1"/>
  <c r="E18" i="10" s="1"/>
  <c r="D18" i="10" a="1"/>
  <c r="D18" i="10" s="1"/>
  <c r="C18" i="10" a="1"/>
  <c r="C18" i="10" s="1"/>
  <c r="B18" i="10" a="1"/>
  <c r="B18" i="10" s="1"/>
  <c r="U2" i="7"/>
  <c r="AN31" i="6"/>
  <c r="Z31" i="6"/>
  <c r="L31" i="6"/>
  <c r="AN30" i="6"/>
  <c r="Z30" i="6"/>
  <c r="L30" i="6"/>
  <c r="AN29" i="6"/>
  <c r="Z29" i="6"/>
  <c r="L29" i="6"/>
  <c r="AN28" i="6"/>
  <c r="Z28" i="6"/>
  <c r="L28" i="6"/>
  <c r="AN27" i="6"/>
  <c r="Z27" i="6"/>
  <c r="L27" i="6"/>
  <c r="AN26" i="6"/>
  <c r="Z26" i="6"/>
  <c r="L26" i="6"/>
  <c r="AN25" i="6"/>
  <c r="Z25" i="6"/>
  <c r="L25" i="6"/>
  <c r="AN24" i="6"/>
  <c r="Z24" i="6"/>
  <c r="L24" i="6"/>
  <c r="AN23" i="6"/>
  <c r="Z23" i="6"/>
  <c r="L23" i="6"/>
  <c r="AN22" i="6"/>
  <c r="Z22" i="6"/>
  <c r="L22" i="6"/>
  <c r="AN21" i="6"/>
  <c r="Z21" i="6"/>
  <c r="L21" i="6"/>
  <c r="AN20" i="6"/>
  <c r="Z20" i="6"/>
  <c r="L20" i="6"/>
  <c r="AN19" i="6"/>
  <c r="Z19" i="6"/>
  <c r="L19" i="6"/>
  <c r="AN18" i="6"/>
  <c r="Z18" i="6"/>
  <c r="L18" i="6"/>
  <c r="AN17" i="6"/>
  <c r="Z17" i="6"/>
  <c r="L17" i="6"/>
  <c r="AN16" i="6"/>
  <c r="Z16" i="6"/>
  <c r="L16" i="6"/>
  <c r="AN15" i="6"/>
  <c r="Z15" i="6"/>
  <c r="L15" i="6"/>
  <c r="AN14" i="6"/>
  <c r="Z14" i="6"/>
  <c r="L14" i="6"/>
  <c r="AN13" i="6"/>
  <c r="Z13" i="6"/>
  <c r="L13" i="6"/>
  <c r="AN12" i="6"/>
  <c r="Z12" i="6"/>
  <c r="L12" i="6"/>
  <c r="AN11" i="6"/>
  <c r="Z11" i="6"/>
  <c r="L11" i="6"/>
  <c r="AN10" i="6"/>
  <c r="Z10" i="6"/>
  <c r="L10" i="6"/>
  <c r="AN9" i="6"/>
  <c r="Z9" i="6"/>
  <c r="L9" i="6"/>
  <c r="AN8" i="6"/>
  <c r="Z8" i="6"/>
  <c r="L8" i="6"/>
  <c r="AN7" i="6"/>
  <c r="Z7" i="6"/>
  <c r="L7" i="6"/>
  <c r="AN6" i="6"/>
  <c r="Z6" i="6"/>
  <c r="L6" i="6"/>
  <c r="AN5" i="6"/>
  <c r="Z5" i="6"/>
  <c r="L5" i="6"/>
  <c r="AN4" i="6"/>
  <c r="Z4" i="6"/>
  <c r="L4" i="6"/>
  <c r="AN3" i="6"/>
  <c r="Z3" i="6"/>
  <c r="L3" i="6"/>
  <c r="AN2" i="6"/>
  <c r="Z2" i="6"/>
  <c r="L2" i="6"/>
  <c r="R32" i="4"/>
  <c r="R31" i="4"/>
  <c r="R30" i="4"/>
  <c r="R29" i="4"/>
  <c r="R28" i="4"/>
  <c r="R27" i="4"/>
  <c r="R26" i="4"/>
  <c r="R25" i="4"/>
  <c r="R24" i="4"/>
  <c r="R23" i="4"/>
  <c r="R22" i="4"/>
  <c r="R21" i="4"/>
  <c r="R20" i="4"/>
  <c r="R19" i="4"/>
  <c r="R18" i="4"/>
  <c r="R17" i="4"/>
  <c r="R16" i="4"/>
  <c r="R15" i="4"/>
  <c r="R14" i="4"/>
  <c r="R13" i="4"/>
  <c r="R12" i="4"/>
  <c r="R11" i="4"/>
  <c r="R10" i="4"/>
  <c r="R9" i="4"/>
  <c r="R8" i="4"/>
  <c r="R7" i="4"/>
  <c r="R6" i="4"/>
  <c r="R5" i="4"/>
  <c r="R4" i="4"/>
  <c r="R3" i="4"/>
  <c r="C3" i="3"/>
  <c r="D3" i="3" s="1"/>
  <c r="C4" i="3"/>
  <c r="D4" i="3" s="1"/>
  <c r="C5" i="3"/>
  <c r="D5" i="3" s="1"/>
  <c r="C6" i="3"/>
  <c r="D6" i="3" s="1"/>
  <c r="C7" i="3"/>
  <c r="D7" i="3" s="1"/>
  <c r="C8" i="3"/>
  <c r="D8" i="3" s="1"/>
  <c r="C9" i="3"/>
  <c r="D9" i="3" s="1"/>
  <c r="C10" i="3"/>
  <c r="D10" i="3" s="1"/>
  <c r="C11" i="3"/>
  <c r="D11" i="3" s="1"/>
  <c r="C12" i="3"/>
  <c r="D12" i="3" s="1"/>
  <c r="C13" i="3"/>
  <c r="D13" i="3" s="1"/>
  <c r="C14" i="3"/>
  <c r="D14" i="3" s="1"/>
  <c r="C15" i="3"/>
  <c r="D15" i="3" s="1"/>
  <c r="C16" i="3"/>
  <c r="D16" i="3" s="1"/>
  <c r="C2" i="3"/>
  <c r="D2" i="3" s="1"/>
  <c r="AI12" i="6" l="1"/>
  <c r="AI11" i="6"/>
  <c r="U12" i="6"/>
  <c r="O16" i="3" l="1"/>
  <c r="P16" i="3" s="1"/>
  <c r="O15" i="3"/>
  <c r="P15" i="3" s="1"/>
  <c r="O14" i="3"/>
  <c r="P14" i="3" s="1"/>
  <c r="O13" i="3"/>
  <c r="P13" i="3" s="1"/>
  <c r="O12" i="3"/>
  <c r="P12" i="3" s="1"/>
  <c r="O11" i="3"/>
  <c r="P11" i="3" s="1"/>
  <c r="O10" i="3"/>
  <c r="P10" i="3" s="1"/>
  <c r="O9" i="3"/>
  <c r="P9" i="3" s="1"/>
  <c r="O8" i="3"/>
  <c r="P8" i="3" s="1"/>
  <c r="O7" i="3"/>
  <c r="P7" i="3" s="1"/>
  <c r="O6" i="3"/>
  <c r="P6" i="3" s="1"/>
  <c r="O5" i="3"/>
  <c r="P5" i="3" s="1"/>
  <c r="O4" i="3"/>
  <c r="P4" i="3" s="1"/>
  <c r="O3" i="3"/>
  <c r="P3" i="3" s="1"/>
  <c r="O2" i="3"/>
  <c r="P2" i="3" s="1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I2" i="3"/>
  <c r="J16" i="3" l="1"/>
  <c r="J15" i="3"/>
  <c r="J14" i="3"/>
  <c r="J13" i="3"/>
  <c r="J12" i="3"/>
  <c r="J11" i="3"/>
  <c r="J10" i="3"/>
  <c r="J9" i="3"/>
  <c r="J8" i="3"/>
  <c r="J7" i="3"/>
  <c r="J6" i="3"/>
  <c r="J5" i="3"/>
  <c r="J4" i="3"/>
  <c r="J3" i="3"/>
  <c r="J2" i="3"/>
  <c r="AG27" i="10"/>
  <c r="AG28" i="10"/>
  <c r="AG29" i="10"/>
  <c r="AG30" i="10"/>
  <c r="AG26" i="10"/>
  <c r="AF27" i="10"/>
  <c r="AF28" i="10"/>
  <c r="AF29" i="10"/>
  <c r="AF30" i="10"/>
  <c r="AF26" i="10"/>
  <c r="AE27" i="10"/>
  <c r="AE28" i="10"/>
  <c r="AE29" i="10"/>
  <c r="AE30" i="10"/>
  <c r="AE26" i="10"/>
  <c r="AD27" i="10"/>
  <c r="AD28" i="10"/>
  <c r="AD29" i="10"/>
  <c r="AD30" i="10"/>
  <c r="AD26" i="10"/>
  <c r="AC27" i="10"/>
  <c r="AC28" i="10"/>
  <c r="AC29" i="10"/>
  <c r="AC30" i="10"/>
  <c r="AC26" i="10"/>
  <c r="AB27" i="10"/>
  <c r="AB28" i="10"/>
  <c r="AB29" i="10"/>
  <c r="AB30" i="10"/>
  <c r="AB26" i="10"/>
  <c r="AA27" i="10"/>
  <c r="AA28" i="10"/>
  <c r="AA29" i="10"/>
  <c r="AA30" i="10"/>
  <c r="AA26" i="10"/>
  <c r="Z27" i="10"/>
  <c r="Z28" i="10"/>
  <c r="Z29" i="10"/>
  <c r="Z30" i="10"/>
  <c r="Z26" i="10"/>
  <c r="Y27" i="10"/>
  <c r="Y28" i="10"/>
  <c r="Y29" i="10"/>
  <c r="Y30" i="10"/>
  <c r="Y26" i="10"/>
  <c r="X27" i="10"/>
  <c r="X28" i="10"/>
  <c r="X29" i="10"/>
  <c r="X30" i="10"/>
  <c r="X26" i="10"/>
  <c r="W27" i="10"/>
  <c r="W28" i="10"/>
  <c r="W29" i="10"/>
  <c r="W30" i="10"/>
  <c r="W26" i="10"/>
  <c r="V27" i="10"/>
  <c r="V28" i="10"/>
  <c r="V29" i="10"/>
  <c r="V30" i="10"/>
  <c r="V26" i="10"/>
  <c r="U30" i="10"/>
  <c r="U27" i="10"/>
  <c r="U28" i="10"/>
  <c r="U29" i="10"/>
  <c r="U26" i="10"/>
  <c r="T27" i="10"/>
  <c r="T28" i="10"/>
  <c r="T29" i="10"/>
  <c r="T30" i="10"/>
  <c r="T26" i="10"/>
  <c r="S27" i="10"/>
  <c r="S28" i="10"/>
  <c r="S29" i="10"/>
  <c r="S30" i="10"/>
  <c r="S26" i="10"/>
  <c r="AG19" i="10"/>
  <c r="AG20" i="10"/>
  <c r="AG21" i="10"/>
  <c r="AG22" i="10"/>
  <c r="AG18" i="10"/>
  <c r="AF19" i="10"/>
  <c r="AF20" i="10"/>
  <c r="AF21" i="10"/>
  <c r="AF22" i="10"/>
  <c r="AF18" i="10"/>
  <c r="AE19" i="10"/>
  <c r="AE20" i="10"/>
  <c r="AE21" i="10"/>
  <c r="AE22" i="10"/>
  <c r="AE18" i="10"/>
  <c r="AD19" i="10"/>
  <c r="AD20" i="10"/>
  <c r="AD21" i="10"/>
  <c r="AD22" i="10"/>
  <c r="AD18" i="10"/>
  <c r="AC19" i="10"/>
  <c r="AC20" i="10"/>
  <c r="AC21" i="10"/>
  <c r="AC22" i="10"/>
  <c r="AC18" i="10"/>
  <c r="AB19" i="10"/>
  <c r="AB20" i="10"/>
  <c r="AB21" i="10"/>
  <c r="AB22" i="10"/>
  <c r="AB18" i="10"/>
  <c r="AA19" i="10"/>
  <c r="AA20" i="10"/>
  <c r="AA21" i="10"/>
  <c r="AA22" i="10"/>
  <c r="AA18" i="10"/>
  <c r="Z19" i="10"/>
  <c r="Z20" i="10"/>
  <c r="Z21" i="10"/>
  <c r="Z22" i="10"/>
  <c r="Z18" i="10"/>
  <c r="Y19" i="10"/>
  <c r="Y20" i="10"/>
  <c r="Y21" i="10"/>
  <c r="Y22" i="10"/>
  <c r="Y18" i="10"/>
  <c r="X19" i="10"/>
  <c r="X20" i="10"/>
  <c r="X21" i="10"/>
  <c r="X22" i="10"/>
  <c r="X18" i="10"/>
  <c r="W19" i="10"/>
  <c r="W20" i="10"/>
  <c r="W21" i="10"/>
  <c r="W22" i="10"/>
  <c r="W18" i="10"/>
  <c r="V19" i="10"/>
  <c r="V20" i="10"/>
  <c r="V21" i="10"/>
  <c r="V22" i="10"/>
  <c r="V18" i="10"/>
  <c r="U19" i="10"/>
  <c r="U20" i="10"/>
  <c r="U21" i="10"/>
  <c r="U22" i="10"/>
  <c r="U18" i="10"/>
  <c r="T19" i="10"/>
  <c r="T20" i="10"/>
  <c r="T21" i="10"/>
  <c r="T22" i="10"/>
  <c r="T18" i="10"/>
  <c r="S19" i="10"/>
  <c r="S20" i="10"/>
  <c r="S21" i="10"/>
  <c r="S22" i="10"/>
  <c r="S18" i="10"/>
  <c r="E31" i="5"/>
  <c r="F31" i="5"/>
  <c r="E30" i="5"/>
  <c r="F30" i="5"/>
  <c r="E29" i="5"/>
  <c r="F29" i="5"/>
  <c r="E28" i="5"/>
  <c r="F28" i="5"/>
  <c r="E27" i="5"/>
  <c r="F27" i="5"/>
  <c r="E26" i="5"/>
  <c r="F26" i="5"/>
  <c r="E25" i="5"/>
  <c r="F25" i="5"/>
  <c r="E24" i="5"/>
  <c r="F24" i="5"/>
  <c r="E23" i="5"/>
  <c r="F23" i="5"/>
  <c r="E22" i="5"/>
  <c r="F22" i="5"/>
  <c r="E21" i="5"/>
  <c r="F21" i="5"/>
  <c r="E20" i="5"/>
  <c r="F20" i="5"/>
  <c r="J14" i="11"/>
  <c r="I14" i="11"/>
  <c r="H14" i="11"/>
  <c r="K14" i="11" l="1"/>
  <c r="L14" i="11"/>
  <c r="J31" i="11"/>
  <c r="I31" i="11"/>
  <c r="H31" i="11"/>
  <c r="J30" i="11"/>
  <c r="I30" i="11"/>
  <c r="H30" i="11"/>
  <c r="J29" i="11"/>
  <c r="I29" i="11"/>
  <c r="H29" i="11"/>
  <c r="J28" i="11"/>
  <c r="I28" i="11"/>
  <c r="H28" i="11"/>
  <c r="J27" i="11"/>
  <c r="I27" i="11"/>
  <c r="H27" i="11"/>
  <c r="J26" i="11"/>
  <c r="I26" i="11"/>
  <c r="H26" i="11"/>
  <c r="J25" i="11"/>
  <c r="I25" i="11"/>
  <c r="H25" i="11"/>
  <c r="J22" i="11"/>
  <c r="J23" i="11"/>
  <c r="J24" i="11"/>
  <c r="I22" i="11"/>
  <c r="I23" i="11"/>
  <c r="I24" i="11"/>
  <c r="H22" i="11"/>
  <c r="H23" i="11"/>
  <c r="H24" i="11"/>
  <c r="J21" i="11"/>
  <c r="I21" i="11"/>
  <c r="H21" i="11"/>
  <c r="J20" i="11"/>
  <c r="I20" i="11"/>
  <c r="H20" i="11"/>
  <c r="J19" i="11"/>
  <c r="I19" i="11"/>
  <c r="H19" i="11"/>
  <c r="J18" i="11"/>
  <c r="I18" i="11"/>
  <c r="H18" i="11"/>
  <c r="J17" i="11"/>
  <c r="I17" i="11"/>
  <c r="H17" i="11"/>
  <c r="J16" i="11"/>
  <c r="I16" i="11"/>
  <c r="H16" i="11"/>
  <c r="J15" i="11"/>
  <c r="I15" i="11"/>
  <c r="H15" i="11"/>
  <c r="J13" i="11"/>
  <c r="I13" i="11"/>
  <c r="H13" i="11"/>
  <c r="J12" i="11"/>
  <c r="I12" i="11"/>
  <c r="H12" i="11"/>
  <c r="J11" i="11"/>
  <c r="I11" i="11"/>
  <c r="H11" i="11"/>
  <c r="J10" i="11"/>
  <c r="I10" i="11"/>
  <c r="K10" i="11" s="1"/>
  <c r="H10" i="11"/>
  <c r="L9" i="11"/>
  <c r="K9" i="11"/>
  <c r="J9" i="11"/>
  <c r="I9" i="11"/>
  <c r="H9" i="11"/>
  <c r="J8" i="11"/>
  <c r="I8" i="11"/>
  <c r="H8" i="11"/>
  <c r="J7" i="11"/>
  <c r="I7" i="11"/>
  <c r="H7" i="11"/>
  <c r="L6" i="11"/>
  <c r="K6" i="11"/>
  <c r="J6" i="11"/>
  <c r="I6" i="11"/>
  <c r="H6" i="11"/>
  <c r="L5" i="11"/>
  <c r="K5" i="11"/>
  <c r="J5" i="11"/>
  <c r="I5" i="11"/>
  <c r="H5" i="11"/>
  <c r="J4" i="11"/>
  <c r="I4" i="11"/>
  <c r="H4" i="11"/>
  <c r="J3" i="11"/>
  <c r="I3" i="11"/>
  <c r="H3" i="11"/>
  <c r="L2" i="11"/>
  <c r="K2" i="11"/>
  <c r="J2" i="11"/>
  <c r="I2" i="11"/>
  <c r="H2" i="11"/>
  <c r="K27" i="11" l="1"/>
  <c r="L27" i="11"/>
  <c r="L31" i="11"/>
  <c r="K31" i="11"/>
  <c r="L30" i="11"/>
  <c r="K30" i="11"/>
  <c r="L29" i="11"/>
  <c r="K29" i="11"/>
  <c r="L28" i="11"/>
  <c r="K28" i="11"/>
  <c r="K23" i="11"/>
  <c r="L23" i="11"/>
  <c r="L22" i="11"/>
  <c r="K22" i="11"/>
  <c r="K26" i="11"/>
  <c r="L26" i="11"/>
  <c r="L25" i="11"/>
  <c r="K25" i="11"/>
  <c r="L24" i="11"/>
  <c r="K24" i="11"/>
  <c r="L21" i="11"/>
  <c r="K21" i="11"/>
  <c r="K20" i="11"/>
  <c r="L20" i="11"/>
  <c r="K19" i="11"/>
  <c r="L19" i="11"/>
  <c r="K18" i="11"/>
  <c r="L18" i="11"/>
  <c r="K17" i="11"/>
  <c r="L17" i="11"/>
  <c r="L16" i="11"/>
  <c r="K16" i="11"/>
  <c r="L15" i="11"/>
  <c r="K15" i="11"/>
  <c r="K13" i="11"/>
  <c r="L13" i="11"/>
  <c r="K12" i="11"/>
  <c r="L12" i="11"/>
  <c r="K11" i="11"/>
  <c r="L11" i="11"/>
  <c r="L10" i="11"/>
  <c r="K8" i="11"/>
  <c r="L8" i="11"/>
  <c r="L7" i="11"/>
  <c r="K7" i="11"/>
  <c r="K4" i="11"/>
  <c r="L4" i="11"/>
  <c r="L3" i="11"/>
  <c r="K3" i="11"/>
  <c r="E19" i="5"/>
  <c r="F19" i="5"/>
  <c r="E18" i="5"/>
  <c r="F18" i="5"/>
  <c r="E17" i="5"/>
  <c r="F17" i="5"/>
  <c r="E16" i="5"/>
  <c r="F16" i="5"/>
  <c r="E15" i="5"/>
  <c r="F15" i="5"/>
  <c r="E14" i="5"/>
  <c r="F14" i="5"/>
  <c r="E13" i="5"/>
  <c r="F13" i="5"/>
  <c r="E12" i="5"/>
  <c r="F12" i="5"/>
  <c r="E11" i="5"/>
  <c r="F11" i="5"/>
  <c r="E10" i="5"/>
  <c r="F10" i="5"/>
  <c r="E9" i="5"/>
  <c r="F9" i="5"/>
  <c r="E8" i="5"/>
  <c r="F8" i="5"/>
  <c r="E7" i="5"/>
  <c r="F7" i="5"/>
  <c r="F6" i="5"/>
  <c r="E6" i="5"/>
  <c r="F5" i="5"/>
  <c r="E5" i="5"/>
  <c r="F4" i="5"/>
  <c r="E4" i="5"/>
  <c r="F3" i="5"/>
  <c r="E3" i="5"/>
  <c r="F2" i="5"/>
  <c r="E2" i="5"/>
  <c r="AH22" i="6" l="1"/>
  <c r="T27" i="6"/>
  <c r="AI26" i="6"/>
  <c r="F25" i="6"/>
  <c r="AH20" i="6"/>
  <c r="AI31" i="6" l="1"/>
  <c r="AH31" i="6"/>
  <c r="AI30" i="6"/>
  <c r="AI29" i="6"/>
  <c r="AH29" i="6"/>
  <c r="AI28" i="6"/>
  <c r="AH28" i="6"/>
  <c r="AH26" i="6"/>
  <c r="AI24" i="6"/>
  <c r="AI22" i="6"/>
  <c r="AI18" i="6"/>
  <c r="AI19" i="6"/>
  <c r="AH17" i="6"/>
  <c r="AA22" i="6" l="1"/>
  <c r="F31" i="6"/>
  <c r="G31" i="6"/>
  <c r="F30" i="6"/>
  <c r="G30" i="6"/>
  <c r="AH19" i="9" l="1"/>
  <c r="AH2" i="9"/>
  <c r="AM3" i="9"/>
  <c r="AM5" i="9"/>
  <c r="AM9" i="9"/>
  <c r="AM10" i="9"/>
  <c r="AM11" i="9"/>
  <c r="AM13" i="9"/>
  <c r="AM14" i="9"/>
  <c r="AM16" i="9"/>
  <c r="AM24" i="9"/>
  <c r="AN3" i="9"/>
  <c r="AN9" i="9"/>
  <c r="AN10" i="9"/>
  <c r="AN11" i="9"/>
  <c r="AN13" i="9"/>
  <c r="AN14" i="9"/>
  <c r="AN16" i="9"/>
  <c r="AN24" i="9"/>
  <c r="AH30" i="9"/>
  <c r="AH31" i="9"/>
  <c r="AH22" i="9"/>
  <c r="AH29" i="9"/>
  <c r="AH28" i="9"/>
  <c r="AH27" i="9"/>
  <c r="AH26" i="9"/>
  <c r="AH25" i="9"/>
  <c r="AH24" i="9"/>
  <c r="AH23" i="9"/>
  <c r="AH21" i="9"/>
  <c r="AH20" i="9"/>
  <c r="AH18" i="9"/>
  <c r="AH17" i="9"/>
  <c r="AH16" i="9"/>
  <c r="AH15" i="9"/>
  <c r="AH14" i="9"/>
  <c r="AH13" i="9"/>
  <c r="AH12" i="9"/>
  <c r="AH11" i="9"/>
  <c r="AH9" i="9"/>
  <c r="AH8" i="9"/>
  <c r="AH7" i="9"/>
  <c r="AH6" i="9"/>
  <c r="AH5" i="9"/>
  <c r="AH4" i="9"/>
  <c r="AH3" i="9"/>
  <c r="AE31" i="9"/>
  <c r="AD31" i="9"/>
  <c r="AE30" i="9"/>
  <c r="AD30" i="9"/>
  <c r="AE29" i="9"/>
  <c r="AD29" i="9"/>
  <c r="AF29" i="9" s="1"/>
  <c r="AG29" i="9" s="1"/>
  <c r="AI29" i="9" s="1"/>
  <c r="AM29" i="9" s="1"/>
  <c r="AE28" i="9"/>
  <c r="AD28" i="9"/>
  <c r="AE27" i="9"/>
  <c r="AD27" i="9"/>
  <c r="AE26" i="9"/>
  <c r="AD26" i="9"/>
  <c r="AE25" i="9"/>
  <c r="AD25" i="9"/>
  <c r="AE24" i="9"/>
  <c r="AD24" i="9"/>
  <c r="AF24" i="9" s="1"/>
  <c r="AG24" i="9" s="1"/>
  <c r="AI24" i="9" s="1"/>
  <c r="AE23" i="9"/>
  <c r="AD23" i="9"/>
  <c r="AE22" i="9"/>
  <c r="AD22" i="9"/>
  <c r="AE21" i="9"/>
  <c r="AD21" i="9"/>
  <c r="AE20" i="9"/>
  <c r="AD20" i="9"/>
  <c r="AE19" i="9"/>
  <c r="AD19" i="9"/>
  <c r="AE18" i="9"/>
  <c r="AD18" i="9"/>
  <c r="AE17" i="9"/>
  <c r="AD17" i="9"/>
  <c r="AF17" i="9" s="1"/>
  <c r="AG17" i="9" s="1"/>
  <c r="AI17" i="9" s="1"/>
  <c r="AE16" i="9"/>
  <c r="AD16" i="9"/>
  <c r="AF16" i="9" s="1"/>
  <c r="AG16" i="9" s="1"/>
  <c r="AI16" i="9" s="1"/>
  <c r="AE15" i="9"/>
  <c r="AD15" i="9"/>
  <c r="AE14" i="9"/>
  <c r="AD14" i="9"/>
  <c r="AF14" i="9" s="1"/>
  <c r="AG14" i="9" s="1"/>
  <c r="AI14" i="9" s="1"/>
  <c r="AE13" i="9"/>
  <c r="AD13" i="9"/>
  <c r="AE12" i="9"/>
  <c r="AD12" i="9"/>
  <c r="AE11" i="9"/>
  <c r="AD11" i="9"/>
  <c r="AF11" i="9" s="1"/>
  <c r="AG11" i="9" s="1"/>
  <c r="AI11" i="9" s="1"/>
  <c r="AH10" i="9"/>
  <c r="AE10" i="9"/>
  <c r="AD10" i="9"/>
  <c r="AF10" i="9" s="1"/>
  <c r="AG10" i="9" s="1"/>
  <c r="AI10" i="9" s="1"/>
  <c r="AE9" i="9"/>
  <c r="AD9" i="9"/>
  <c r="AF9" i="9" s="1"/>
  <c r="AG9" i="9" s="1"/>
  <c r="AI9" i="9" s="1"/>
  <c r="AE8" i="9"/>
  <c r="AD8" i="9"/>
  <c r="AE7" i="9"/>
  <c r="AD7" i="9"/>
  <c r="AE6" i="9"/>
  <c r="AD6" i="9"/>
  <c r="AF6" i="9" s="1"/>
  <c r="AG6" i="9" s="1"/>
  <c r="AI6" i="9" s="1"/>
  <c r="AE5" i="9"/>
  <c r="AD5" i="9"/>
  <c r="AF5" i="9" s="1"/>
  <c r="AG5" i="9" s="1"/>
  <c r="AI5" i="9" s="1"/>
  <c r="AN5" i="9" s="1"/>
  <c r="AE4" i="9"/>
  <c r="AD4" i="9"/>
  <c r="AE3" i="9"/>
  <c r="AD3" i="9"/>
  <c r="AF3" i="9" s="1"/>
  <c r="AG3" i="9" s="1"/>
  <c r="AI3" i="9" s="1"/>
  <c r="AE2" i="9"/>
  <c r="AD2" i="9"/>
  <c r="AF2" i="9" s="1"/>
  <c r="AG2" i="9" s="1"/>
  <c r="AI2" i="9" s="1"/>
  <c r="AN2" i="9" s="1"/>
  <c r="V31" i="9"/>
  <c r="S31" i="9"/>
  <c r="R31" i="9"/>
  <c r="T31" i="9" s="1"/>
  <c r="U31" i="9" s="1"/>
  <c r="W31" i="9" s="1"/>
  <c r="J31" i="9"/>
  <c r="H31" i="9"/>
  <c r="I31" i="9" s="1"/>
  <c r="K31" i="9" s="1"/>
  <c r="G31" i="9"/>
  <c r="F31" i="9"/>
  <c r="V30" i="9"/>
  <c r="T30" i="9"/>
  <c r="U30" i="9" s="1"/>
  <c r="W30" i="9" s="1"/>
  <c r="S30" i="9"/>
  <c r="R30" i="9"/>
  <c r="J30" i="9"/>
  <c r="H30" i="9"/>
  <c r="I30" i="9" s="1"/>
  <c r="K30" i="9" s="1"/>
  <c r="G30" i="9"/>
  <c r="F30" i="9"/>
  <c r="V29" i="9"/>
  <c r="T29" i="9"/>
  <c r="U29" i="9" s="1"/>
  <c r="W29" i="9" s="1"/>
  <c r="S29" i="9"/>
  <c r="R29" i="9"/>
  <c r="J29" i="9"/>
  <c r="H29" i="9"/>
  <c r="I29" i="9" s="1"/>
  <c r="K29" i="9" s="1"/>
  <c r="G29" i="9"/>
  <c r="F29" i="9"/>
  <c r="V28" i="9"/>
  <c r="S28" i="9"/>
  <c r="T28" i="9" s="1"/>
  <c r="U28" i="9" s="1"/>
  <c r="W28" i="9" s="1"/>
  <c r="R28" i="9"/>
  <c r="J28" i="9"/>
  <c r="H28" i="9"/>
  <c r="I28" i="9" s="1"/>
  <c r="K28" i="9" s="1"/>
  <c r="G28" i="9"/>
  <c r="F28" i="9"/>
  <c r="V27" i="9"/>
  <c r="S27" i="9"/>
  <c r="T27" i="9" s="1"/>
  <c r="U27" i="9" s="1"/>
  <c r="W27" i="9" s="1"/>
  <c r="R27" i="9"/>
  <c r="J27" i="9"/>
  <c r="H27" i="9"/>
  <c r="I27" i="9" s="1"/>
  <c r="K27" i="9" s="1"/>
  <c r="G27" i="9"/>
  <c r="F27" i="9"/>
  <c r="V26" i="9"/>
  <c r="T26" i="9"/>
  <c r="U26" i="9" s="1"/>
  <c r="W26" i="9" s="1"/>
  <c r="S26" i="9"/>
  <c r="R26" i="9"/>
  <c r="J26" i="9"/>
  <c r="G26" i="9"/>
  <c r="F26" i="9"/>
  <c r="H26" i="9" s="1"/>
  <c r="I26" i="9" s="1"/>
  <c r="K26" i="9" s="1"/>
  <c r="V25" i="9"/>
  <c r="T25" i="9"/>
  <c r="U25" i="9" s="1"/>
  <c r="W25" i="9" s="1"/>
  <c r="S25" i="9"/>
  <c r="R25" i="9"/>
  <c r="J25" i="9"/>
  <c r="G25" i="9"/>
  <c r="F25" i="9"/>
  <c r="H25" i="9" s="1"/>
  <c r="I25" i="9" s="1"/>
  <c r="K25" i="9" s="1"/>
  <c r="V24" i="9"/>
  <c r="T24" i="9"/>
  <c r="U24" i="9" s="1"/>
  <c r="W24" i="9" s="1"/>
  <c r="S24" i="9"/>
  <c r="R24" i="9"/>
  <c r="J24" i="9"/>
  <c r="H24" i="9"/>
  <c r="I24" i="9" s="1"/>
  <c r="K24" i="9" s="1"/>
  <c r="G24" i="9"/>
  <c r="F24" i="9"/>
  <c r="V23" i="9"/>
  <c r="S23" i="9"/>
  <c r="R23" i="9"/>
  <c r="T23" i="9" s="1"/>
  <c r="U23" i="9" s="1"/>
  <c r="W23" i="9" s="1"/>
  <c r="J23" i="9"/>
  <c r="G23" i="9"/>
  <c r="F23" i="9"/>
  <c r="H23" i="9" s="1"/>
  <c r="I23" i="9" s="1"/>
  <c r="K23" i="9" s="1"/>
  <c r="V22" i="9"/>
  <c r="T22" i="9"/>
  <c r="U22" i="9" s="1"/>
  <c r="W22" i="9" s="1"/>
  <c r="S22" i="9"/>
  <c r="R22" i="9"/>
  <c r="J22" i="9"/>
  <c r="G22" i="9"/>
  <c r="F22" i="9"/>
  <c r="V21" i="9"/>
  <c r="T21" i="9"/>
  <c r="U21" i="9" s="1"/>
  <c r="W21" i="9" s="1"/>
  <c r="S21" i="9"/>
  <c r="R21" i="9"/>
  <c r="J21" i="9"/>
  <c r="H21" i="9"/>
  <c r="I21" i="9" s="1"/>
  <c r="K21" i="9" s="1"/>
  <c r="G21" i="9"/>
  <c r="F21" i="9"/>
  <c r="V20" i="9"/>
  <c r="S20" i="9"/>
  <c r="R20" i="9"/>
  <c r="J20" i="9"/>
  <c r="G20" i="9"/>
  <c r="F20" i="9"/>
  <c r="H20" i="9" s="1"/>
  <c r="I20" i="9" s="1"/>
  <c r="K20" i="9" s="1"/>
  <c r="V19" i="9"/>
  <c r="S19" i="9"/>
  <c r="T19" i="9" s="1"/>
  <c r="U19" i="9" s="1"/>
  <c r="W19" i="9" s="1"/>
  <c r="R19" i="9"/>
  <c r="J19" i="9"/>
  <c r="I19" i="9"/>
  <c r="K19" i="9" s="1"/>
  <c r="H19" i="9"/>
  <c r="G19" i="9"/>
  <c r="F19" i="9"/>
  <c r="V18" i="9"/>
  <c r="S18" i="9"/>
  <c r="R18" i="9"/>
  <c r="J18" i="9"/>
  <c r="G18" i="9"/>
  <c r="H18" i="9" s="1"/>
  <c r="I18" i="9" s="1"/>
  <c r="K18" i="9" s="1"/>
  <c r="F18" i="9"/>
  <c r="V17" i="9"/>
  <c r="T17" i="9"/>
  <c r="U17" i="9" s="1"/>
  <c r="W17" i="9" s="1"/>
  <c r="S17" i="9"/>
  <c r="R17" i="9"/>
  <c r="J17" i="9"/>
  <c r="G17" i="9"/>
  <c r="F17" i="9"/>
  <c r="V16" i="9"/>
  <c r="T16" i="9"/>
  <c r="U16" i="9" s="1"/>
  <c r="W16" i="9" s="1"/>
  <c r="S16" i="9"/>
  <c r="R16" i="9"/>
  <c r="J16" i="9"/>
  <c r="I16" i="9"/>
  <c r="K16" i="9" s="1"/>
  <c r="H16" i="9"/>
  <c r="G16" i="9"/>
  <c r="F16" i="9"/>
  <c r="V15" i="9"/>
  <c r="T15" i="9"/>
  <c r="U15" i="9" s="1"/>
  <c r="W15" i="9" s="1"/>
  <c r="S15" i="9"/>
  <c r="R15" i="9"/>
  <c r="J15" i="9"/>
  <c r="I15" i="9"/>
  <c r="K15" i="9" s="1"/>
  <c r="H15" i="9"/>
  <c r="G15" i="9"/>
  <c r="F15" i="9"/>
  <c r="V14" i="9"/>
  <c r="T14" i="9"/>
  <c r="U14" i="9" s="1"/>
  <c r="W14" i="9" s="1"/>
  <c r="S14" i="9"/>
  <c r="R14" i="9"/>
  <c r="J14" i="9"/>
  <c r="I14" i="9"/>
  <c r="K14" i="9" s="1"/>
  <c r="H14" i="9"/>
  <c r="G14" i="9"/>
  <c r="F14" i="9"/>
  <c r="V13" i="9"/>
  <c r="T13" i="9"/>
  <c r="U13" i="9" s="1"/>
  <c r="W13" i="9" s="1"/>
  <c r="S13" i="9"/>
  <c r="R13" i="9"/>
  <c r="J13" i="9"/>
  <c r="I13" i="9"/>
  <c r="K13" i="9" s="1"/>
  <c r="H13" i="9"/>
  <c r="G13" i="9"/>
  <c r="F13" i="9"/>
  <c r="V12" i="9"/>
  <c r="T12" i="9"/>
  <c r="U12" i="9" s="1"/>
  <c r="W12" i="9" s="1"/>
  <c r="S12" i="9"/>
  <c r="R12" i="9"/>
  <c r="J12" i="9"/>
  <c r="I12" i="9"/>
  <c r="K12" i="9" s="1"/>
  <c r="H12" i="9"/>
  <c r="G12" i="9"/>
  <c r="F12" i="9"/>
  <c r="V11" i="9"/>
  <c r="T11" i="9"/>
  <c r="U11" i="9" s="1"/>
  <c r="W11" i="9" s="1"/>
  <c r="S11" i="9"/>
  <c r="R11" i="9"/>
  <c r="J11" i="9"/>
  <c r="I11" i="9"/>
  <c r="K11" i="9" s="1"/>
  <c r="H11" i="9"/>
  <c r="G11" i="9"/>
  <c r="F11" i="9"/>
  <c r="V10" i="9"/>
  <c r="T10" i="9"/>
  <c r="U10" i="9" s="1"/>
  <c r="W10" i="9" s="1"/>
  <c r="S10" i="9"/>
  <c r="R10" i="9"/>
  <c r="J10" i="9"/>
  <c r="I10" i="9"/>
  <c r="K10" i="9" s="1"/>
  <c r="H10" i="9"/>
  <c r="G10" i="9"/>
  <c r="F10" i="9"/>
  <c r="V9" i="9"/>
  <c r="T9" i="9"/>
  <c r="U9" i="9" s="1"/>
  <c r="W9" i="9" s="1"/>
  <c r="S9" i="9"/>
  <c r="R9" i="9"/>
  <c r="J9" i="9"/>
  <c r="I9" i="9"/>
  <c r="K9" i="9" s="1"/>
  <c r="H9" i="9"/>
  <c r="G9" i="9"/>
  <c r="F9" i="9"/>
  <c r="V8" i="9"/>
  <c r="T8" i="9"/>
  <c r="U8" i="9" s="1"/>
  <c r="W8" i="9" s="1"/>
  <c r="S8" i="9"/>
  <c r="R8" i="9"/>
  <c r="J8" i="9"/>
  <c r="G8" i="9"/>
  <c r="F8" i="9"/>
  <c r="H8" i="9" s="1"/>
  <c r="I8" i="9" s="1"/>
  <c r="K8" i="9" s="1"/>
  <c r="V7" i="9"/>
  <c r="T7" i="9"/>
  <c r="U7" i="9" s="1"/>
  <c r="W7" i="9" s="1"/>
  <c r="S7" i="9"/>
  <c r="R7" i="9"/>
  <c r="J7" i="9"/>
  <c r="I7" i="9"/>
  <c r="K7" i="9" s="1"/>
  <c r="H7" i="9"/>
  <c r="G7" i="9"/>
  <c r="F7" i="9"/>
  <c r="V6" i="9"/>
  <c r="S6" i="9"/>
  <c r="R6" i="9"/>
  <c r="T6" i="9" s="1"/>
  <c r="U6" i="9" s="1"/>
  <c r="W6" i="9" s="1"/>
  <c r="J6" i="9"/>
  <c r="G6" i="9"/>
  <c r="F6" i="9"/>
  <c r="H6" i="9" s="1"/>
  <c r="I6" i="9" s="1"/>
  <c r="K6" i="9" s="1"/>
  <c r="V5" i="9"/>
  <c r="T5" i="9"/>
  <c r="U5" i="9" s="1"/>
  <c r="W5" i="9" s="1"/>
  <c r="S5" i="9"/>
  <c r="R5" i="9"/>
  <c r="J5" i="9"/>
  <c r="I5" i="9"/>
  <c r="K5" i="9" s="1"/>
  <c r="H5" i="9"/>
  <c r="G5" i="9"/>
  <c r="F5" i="9"/>
  <c r="V4" i="9"/>
  <c r="T4" i="9"/>
  <c r="U4" i="9" s="1"/>
  <c r="W4" i="9" s="1"/>
  <c r="S4" i="9"/>
  <c r="R4" i="9"/>
  <c r="J4" i="9"/>
  <c r="I4" i="9"/>
  <c r="K4" i="9" s="1"/>
  <c r="H4" i="9"/>
  <c r="G4" i="9"/>
  <c r="F4" i="9"/>
  <c r="V3" i="9"/>
  <c r="T3" i="9"/>
  <c r="U3" i="9" s="1"/>
  <c r="W3" i="9" s="1"/>
  <c r="S3" i="9"/>
  <c r="R3" i="9"/>
  <c r="J3" i="9"/>
  <c r="I3" i="9"/>
  <c r="K3" i="9" s="1"/>
  <c r="H3" i="9"/>
  <c r="G3" i="9"/>
  <c r="F3" i="9"/>
  <c r="V2" i="9"/>
  <c r="T2" i="9"/>
  <c r="U2" i="9" s="1"/>
  <c r="W2" i="9" s="1"/>
  <c r="S2" i="9"/>
  <c r="R2" i="9"/>
  <c r="J2" i="9"/>
  <c r="I2" i="9"/>
  <c r="K2" i="9" s="1"/>
  <c r="H2" i="9"/>
  <c r="G2" i="9"/>
  <c r="F2" i="9"/>
  <c r="G23" i="6"/>
  <c r="M18" i="6"/>
  <c r="F16" i="7"/>
  <c r="AN23" i="9" l="1"/>
  <c r="AM23" i="9"/>
  <c r="H22" i="9"/>
  <c r="I22" i="9" s="1"/>
  <c r="K22" i="9" s="1"/>
  <c r="T18" i="9"/>
  <c r="U18" i="9" s="1"/>
  <c r="W18" i="9" s="1"/>
  <c r="H17" i="9"/>
  <c r="I17" i="9" s="1"/>
  <c r="K17" i="9" s="1"/>
  <c r="AN17" i="9"/>
  <c r="AN29" i="9"/>
  <c r="AF30" i="9"/>
  <c r="AG30" i="9" s="1"/>
  <c r="AI30" i="9" s="1"/>
  <c r="T20" i="9"/>
  <c r="U20" i="9" s="1"/>
  <c r="W20" i="9" s="1"/>
  <c r="AF20" i="9"/>
  <c r="AG20" i="9" s="1"/>
  <c r="AI20" i="9" s="1"/>
  <c r="AM17" i="9"/>
  <c r="AF8" i="9"/>
  <c r="AG8" i="9" s="1"/>
  <c r="AI8" i="9" s="1"/>
  <c r="AM6" i="9"/>
  <c r="AN6" i="9"/>
  <c r="AN8" i="9"/>
  <c r="AM8" i="9"/>
  <c r="AM2" i="9"/>
  <c r="AF27" i="9"/>
  <c r="AG27" i="9" s="1"/>
  <c r="AI27" i="9" s="1"/>
  <c r="AF25" i="9"/>
  <c r="AG25" i="9" s="1"/>
  <c r="AI25" i="9" s="1"/>
  <c r="AF18" i="9"/>
  <c r="AG18" i="9" s="1"/>
  <c r="AI18" i="9" s="1"/>
  <c r="AF4" i="9"/>
  <c r="AG4" i="9" s="1"/>
  <c r="AF31" i="9"/>
  <c r="AG31" i="9" s="1"/>
  <c r="AI31" i="9" s="1"/>
  <c r="AF28" i="9"/>
  <c r="AG28" i="9" s="1"/>
  <c r="AI28" i="9" s="1"/>
  <c r="AF26" i="9"/>
  <c r="AG26" i="9" s="1"/>
  <c r="AI26" i="9" s="1"/>
  <c r="AF23" i="9"/>
  <c r="AG23" i="9" s="1"/>
  <c r="AI23" i="9" s="1"/>
  <c r="AF22" i="9"/>
  <c r="AG22" i="9" s="1"/>
  <c r="AI22" i="9" s="1"/>
  <c r="AF21" i="9"/>
  <c r="AG21" i="9" s="1"/>
  <c r="AI21" i="9" s="1"/>
  <c r="AF19" i="9"/>
  <c r="AG19" i="9" s="1"/>
  <c r="AI19" i="9" s="1"/>
  <c r="AF15" i="9"/>
  <c r="AG15" i="9" s="1"/>
  <c r="AI15" i="9" s="1"/>
  <c r="AF13" i="9"/>
  <c r="AG13" i="9" s="1"/>
  <c r="AI13" i="9" s="1"/>
  <c r="AF12" i="9"/>
  <c r="AG12" i="9" s="1"/>
  <c r="AI12" i="9" s="1"/>
  <c r="AF7" i="9"/>
  <c r="AG7" i="9" s="1"/>
  <c r="AI7" i="9" s="1"/>
  <c r="AI4" i="9"/>
  <c r="AM31" i="9" l="1"/>
  <c r="AN31" i="9"/>
  <c r="AN22" i="9"/>
  <c r="AM22" i="9"/>
  <c r="AM27" i="9"/>
  <c r="AN27" i="9"/>
  <c r="AM30" i="9"/>
  <c r="AN30" i="9"/>
  <c r="AM28" i="9"/>
  <c r="AN28" i="9"/>
  <c r="AN26" i="9"/>
  <c r="AM26" i="9"/>
  <c r="AN25" i="9"/>
  <c r="AM25" i="9"/>
  <c r="AM21" i="9"/>
  <c r="AN21" i="9"/>
  <c r="AN20" i="9"/>
  <c r="AM20" i="9"/>
  <c r="AM19" i="9"/>
  <c r="AN19" i="9"/>
  <c r="AN18" i="9"/>
  <c r="AM18" i="9"/>
  <c r="AN15" i="9"/>
  <c r="AM15" i="9"/>
  <c r="AM12" i="9"/>
  <c r="AN12" i="9"/>
  <c r="AM7" i="9"/>
  <c r="AN7" i="9"/>
  <c r="AN4" i="9"/>
  <c r="AM4" i="9"/>
  <c r="V27" i="7" l="1"/>
  <c r="V3" i="7"/>
  <c r="V6" i="7"/>
  <c r="V7" i="7"/>
  <c r="V8" i="7"/>
  <c r="V9" i="7"/>
  <c r="V10" i="7"/>
  <c r="V13" i="7"/>
  <c r="V14" i="7"/>
  <c r="V16" i="7"/>
  <c r="V17" i="7"/>
  <c r="V18" i="7"/>
  <c r="V19" i="7"/>
  <c r="V21" i="7"/>
  <c r="V2" i="7"/>
  <c r="U27" i="7"/>
  <c r="U6" i="7"/>
  <c r="U7" i="7"/>
  <c r="U8" i="7"/>
  <c r="U9" i="7"/>
  <c r="U10" i="7"/>
  <c r="U13" i="7"/>
  <c r="U14" i="7"/>
  <c r="U16" i="7"/>
  <c r="U17" i="7"/>
  <c r="U18" i="7"/>
  <c r="U19" i="7"/>
  <c r="U20" i="7"/>
  <c r="U21" i="7"/>
  <c r="W31" i="8"/>
  <c r="Y31" i="8" s="1"/>
  <c r="V31" i="8"/>
  <c r="X31" i="8" s="1"/>
  <c r="Z31" i="8" s="1"/>
  <c r="N31" i="8"/>
  <c r="P31" i="8" s="1"/>
  <c r="M31" i="8"/>
  <c r="O31" i="8" s="1"/>
  <c r="Q31" i="8" s="1"/>
  <c r="H31" i="8"/>
  <c r="G31" i="8"/>
  <c r="E31" i="8"/>
  <c r="D31" i="8"/>
  <c r="F31" i="8" s="1"/>
  <c r="Y30" i="8"/>
  <c r="X30" i="8"/>
  <c r="Z30" i="8" s="1"/>
  <c r="W30" i="8"/>
  <c r="V30" i="8"/>
  <c r="O30" i="8"/>
  <c r="N30" i="8"/>
  <c r="P30" i="8" s="1"/>
  <c r="M30" i="8"/>
  <c r="E30" i="8"/>
  <c r="G30" i="8" s="1"/>
  <c r="D30" i="8"/>
  <c r="F30" i="8" s="1"/>
  <c r="H30" i="8" s="1"/>
  <c r="W29" i="8"/>
  <c r="Y29" i="8" s="1"/>
  <c r="V29" i="8"/>
  <c r="X29" i="8" s="1"/>
  <c r="Z29" i="8" s="1"/>
  <c r="Q29" i="8"/>
  <c r="N29" i="8"/>
  <c r="P29" i="8" s="1"/>
  <c r="M29" i="8"/>
  <c r="O29" i="8" s="1"/>
  <c r="G29" i="8"/>
  <c r="E29" i="8"/>
  <c r="D29" i="8"/>
  <c r="F29" i="8" s="1"/>
  <c r="H29" i="8" s="1"/>
  <c r="Y28" i="8"/>
  <c r="X28" i="8"/>
  <c r="Z28" i="8" s="1"/>
  <c r="W28" i="8"/>
  <c r="V28" i="8"/>
  <c r="P28" i="8"/>
  <c r="O28" i="8"/>
  <c r="N28" i="8"/>
  <c r="M28" i="8"/>
  <c r="E28" i="8"/>
  <c r="G28" i="8" s="1"/>
  <c r="D28" i="8"/>
  <c r="F28" i="8" s="1"/>
  <c r="H28" i="8" s="1"/>
  <c r="W27" i="8"/>
  <c r="Y27" i="8" s="1"/>
  <c r="V27" i="8"/>
  <c r="X27" i="8" s="1"/>
  <c r="Z27" i="8" s="1"/>
  <c r="N27" i="8"/>
  <c r="P27" i="8" s="1"/>
  <c r="M27" i="8"/>
  <c r="O27" i="8" s="1"/>
  <c r="Q27" i="8" s="1"/>
  <c r="H27" i="8"/>
  <c r="G27" i="8"/>
  <c r="E27" i="8"/>
  <c r="D27" i="8"/>
  <c r="F27" i="8" s="1"/>
  <c r="Y26" i="8"/>
  <c r="X26" i="8"/>
  <c r="Z26" i="8" s="1"/>
  <c r="W26" i="8"/>
  <c r="V26" i="8"/>
  <c r="O26" i="8"/>
  <c r="N26" i="8"/>
  <c r="P26" i="8" s="1"/>
  <c r="M26" i="8"/>
  <c r="E26" i="8"/>
  <c r="G26" i="8" s="1"/>
  <c r="D26" i="8"/>
  <c r="F26" i="8" s="1"/>
  <c r="H26" i="8" s="1"/>
  <c r="W25" i="8"/>
  <c r="Y25" i="8" s="1"/>
  <c r="V25" i="8"/>
  <c r="X25" i="8" s="1"/>
  <c r="Z25" i="8" s="1"/>
  <c r="Q25" i="8"/>
  <c r="N25" i="8"/>
  <c r="P25" i="8" s="1"/>
  <c r="M25" i="8"/>
  <c r="O25" i="8" s="1"/>
  <c r="G25" i="8"/>
  <c r="E25" i="8"/>
  <c r="D25" i="8"/>
  <c r="F25" i="8" s="1"/>
  <c r="H25" i="8" s="1"/>
  <c r="Y24" i="8"/>
  <c r="X24" i="8"/>
  <c r="Z24" i="8" s="1"/>
  <c r="W24" i="8"/>
  <c r="V24" i="8"/>
  <c r="P24" i="8"/>
  <c r="O24" i="8"/>
  <c r="N24" i="8"/>
  <c r="M24" i="8"/>
  <c r="E24" i="8"/>
  <c r="G24" i="8" s="1"/>
  <c r="D24" i="8"/>
  <c r="F24" i="8" s="1"/>
  <c r="H24" i="8" s="1"/>
  <c r="W23" i="8"/>
  <c r="Y23" i="8" s="1"/>
  <c r="V23" i="8"/>
  <c r="X23" i="8" s="1"/>
  <c r="Z23" i="8" s="1"/>
  <c r="N23" i="8"/>
  <c r="P23" i="8" s="1"/>
  <c r="M23" i="8"/>
  <c r="O23" i="8" s="1"/>
  <c r="Q23" i="8" s="1"/>
  <c r="H23" i="8"/>
  <c r="G23" i="8"/>
  <c r="E23" i="8"/>
  <c r="D23" i="8"/>
  <c r="F23" i="8" s="1"/>
  <c r="Y22" i="8"/>
  <c r="X22" i="8"/>
  <c r="Z22" i="8" s="1"/>
  <c r="W22" i="8"/>
  <c r="V22" i="8"/>
  <c r="O22" i="8"/>
  <c r="N22" i="8"/>
  <c r="P22" i="8" s="1"/>
  <c r="M22" i="8"/>
  <c r="E22" i="8"/>
  <c r="G22" i="8" s="1"/>
  <c r="D22" i="8"/>
  <c r="F22" i="8" s="1"/>
  <c r="H22" i="8" s="1"/>
  <c r="W21" i="8"/>
  <c r="Y21" i="8" s="1"/>
  <c r="V21" i="8"/>
  <c r="X21" i="8" s="1"/>
  <c r="Z21" i="8" s="1"/>
  <c r="Q21" i="8"/>
  <c r="N21" i="8"/>
  <c r="P21" i="8" s="1"/>
  <c r="M21" i="8"/>
  <c r="O21" i="8" s="1"/>
  <c r="G21" i="8"/>
  <c r="E21" i="8"/>
  <c r="D21" i="8"/>
  <c r="F21" i="8" s="1"/>
  <c r="H21" i="8" s="1"/>
  <c r="Y20" i="8"/>
  <c r="X20" i="8"/>
  <c r="Z20" i="8" s="1"/>
  <c r="W20" i="8"/>
  <c r="V20" i="8"/>
  <c r="P20" i="8"/>
  <c r="O20" i="8"/>
  <c r="N20" i="8"/>
  <c r="M20" i="8"/>
  <c r="E20" i="8"/>
  <c r="G20" i="8" s="1"/>
  <c r="D20" i="8"/>
  <c r="F20" i="8" s="1"/>
  <c r="H20" i="8" s="1"/>
  <c r="W19" i="8"/>
  <c r="Y19" i="8" s="1"/>
  <c r="V19" i="8"/>
  <c r="X19" i="8" s="1"/>
  <c r="Z19" i="8" s="1"/>
  <c r="N19" i="8"/>
  <c r="P19" i="8" s="1"/>
  <c r="M19" i="8"/>
  <c r="O19" i="8" s="1"/>
  <c r="Q19" i="8" s="1"/>
  <c r="H19" i="8"/>
  <c r="G19" i="8"/>
  <c r="E19" i="8"/>
  <c r="D19" i="8"/>
  <c r="F19" i="8" s="1"/>
  <c r="Y18" i="8"/>
  <c r="X18" i="8"/>
  <c r="Z18" i="8" s="1"/>
  <c r="W18" i="8"/>
  <c r="V18" i="8"/>
  <c r="O18" i="8"/>
  <c r="N18" i="8"/>
  <c r="P18" i="8" s="1"/>
  <c r="M18" i="8"/>
  <c r="E18" i="8"/>
  <c r="G18" i="8" s="1"/>
  <c r="D18" i="8"/>
  <c r="F18" i="8" s="1"/>
  <c r="H18" i="8" s="1"/>
  <c r="W17" i="8"/>
  <c r="Y17" i="8" s="1"/>
  <c r="V17" i="8"/>
  <c r="X17" i="8" s="1"/>
  <c r="Z17" i="8" s="1"/>
  <c r="Q17" i="8"/>
  <c r="N17" i="8"/>
  <c r="P17" i="8" s="1"/>
  <c r="M17" i="8"/>
  <c r="O17" i="8" s="1"/>
  <c r="G17" i="8"/>
  <c r="E17" i="8"/>
  <c r="D17" i="8"/>
  <c r="F17" i="8" s="1"/>
  <c r="H17" i="8" s="1"/>
  <c r="Y16" i="8"/>
  <c r="X16" i="8"/>
  <c r="Z16" i="8" s="1"/>
  <c r="W16" i="8"/>
  <c r="V16" i="8"/>
  <c r="P16" i="8"/>
  <c r="O16" i="8"/>
  <c r="N16" i="8"/>
  <c r="M16" i="8"/>
  <c r="E16" i="8"/>
  <c r="G16" i="8" s="1"/>
  <c r="D16" i="8"/>
  <c r="F16" i="8" s="1"/>
  <c r="H16" i="8" s="1"/>
  <c r="W15" i="8"/>
  <c r="Y15" i="8" s="1"/>
  <c r="V15" i="8"/>
  <c r="X15" i="8" s="1"/>
  <c r="Z15" i="8" s="1"/>
  <c r="N15" i="8"/>
  <c r="P15" i="8" s="1"/>
  <c r="M15" i="8"/>
  <c r="O15" i="8" s="1"/>
  <c r="Q15" i="8" s="1"/>
  <c r="H15" i="8"/>
  <c r="G15" i="8"/>
  <c r="E15" i="8"/>
  <c r="D15" i="8"/>
  <c r="F15" i="8" s="1"/>
  <c r="Y14" i="8"/>
  <c r="X14" i="8"/>
  <c r="Z14" i="8" s="1"/>
  <c r="W14" i="8"/>
  <c r="V14" i="8"/>
  <c r="O14" i="8"/>
  <c r="N14" i="8"/>
  <c r="P14" i="8" s="1"/>
  <c r="M14" i="8"/>
  <c r="E14" i="8"/>
  <c r="G14" i="8" s="1"/>
  <c r="D14" i="8"/>
  <c r="F14" i="8" s="1"/>
  <c r="H14" i="8" s="1"/>
  <c r="W13" i="8"/>
  <c r="Y13" i="8" s="1"/>
  <c r="V13" i="8"/>
  <c r="X13" i="8" s="1"/>
  <c r="Z13" i="8" s="1"/>
  <c r="Q13" i="8"/>
  <c r="N13" i="8"/>
  <c r="P13" i="8" s="1"/>
  <c r="M13" i="8"/>
  <c r="O13" i="8" s="1"/>
  <c r="G13" i="8"/>
  <c r="E13" i="8"/>
  <c r="D13" i="8"/>
  <c r="F13" i="8" s="1"/>
  <c r="H13" i="8" s="1"/>
  <c r="Y12" i="8"/>
  <c r="X12" i="8"/>
  <c r="Z12" i="8" s="1"/>
  <c r="W12" i="8"/>
  <c r="V12" i="8"/>
  <c r="P12" i="8"/>
  <c r="O12" i="8"/>
  <c r="N12" i="8"/>
  <c r="M12" i="8"/>
  <c r="E12" i="8"/>
  <c r="G12" i="8" s="1"/>
  <c r="D12" i="8"/>
  <c r="F12" i="8" s="1"/>
  <c r="H12" i="8" s="1"/>
  <c r="W11" i="8"/>
  <c r="Y11" i="8" s="1"/>
  <c r="V11" i="8"/>
  <c r="X11" i="8" s="1"/>
  <c r="Z11" i="8" s="1"/>
  <c r="N11" i="8"/>
  <c r="P11" i="8" s="1"/>
  <c r="M11" i="8"/>
  <c r="O11" i="8" s="1"/>
  <c r="Q11" i="8" s="1"/>
  <c r="H11" i="8"/>
  <c r="G11" i="8"/>
  <c r="E11" i="8"/>
  <c r="D11" i="8"/>
  <c r="F11" i="8" s="1"/>
  <c r="Y10" i="8"/>
  <c r="X10" i="8"/>
  <c r="Z10" i="8" s="1"/>
  <c r="W10" i="8"/>
  <c r="V10" i="8"/>
  <c r="O10" i="8"/>
  <c r="N10" i="8"/>
  <c r="P10" i="8" s="1"/>
  <c r="M10" i="8"/>
  <c r="E10" i="8"/>
  <c r="G10" i="8" s="1"/>
  <c r="D10" i="8"/>
  <c r="F10" i="8" s="1"/>
  <c r="H10" i="8" s="1"/>
  <c r="W9" i="8"/>
  <c r="Y9" i="8" s="1"/>
  <c r="V9" i="8"/>
  <c r="X9" i="8" s="1"/>
  <c r="Z9" i="8" s="1"/>
  <c r="Q9" i="8"/>
  <c r="N9" i="8"/>
  <c r="P9" i="8" s="1"/>
  <c r="M9" i="8"/>
  <c r="O9" i="8" s="1"/>
  <c r="G9" i="8"/>
  <c r="E9" i="8"/>
  <c r="D9" i="8"/>
  <c r="F9" i="8" s="1"/>
  <c r="H9" i="8" s="1"/>
  <c r="Y8" i="8"/>
  <c r="X8" i="8"/>
  <c r="Z8" i="8" s="1"/>
  <c r="W8" i="8"/>
  <c r="V8" i="8"/>
  <c r="P8" i="8"/>
  <c r="O8" i="8"/>
  <c r="N8" i="8"/>
  <c r="M8" i="8"/>
  <c r="E8" i="8"/>
  <c r="G8" i="8" s="1"/>
  <c r="D8" i="8"/>
  <c r="F8" i="8" s="1"/>
  <c r="H8" i="8" s="1"/>
  <c r="W7" i="8"/>
  <c r="Y7" i="8" s="1"/>
  <c r="V7" i="8"/>
  <c r="X7" i="8" s="1"/>
  <c r="Z7" i="8" s="1"/>
  <c r="N7" i="8"/>
  <c r="P7" i="8" s="1"/>
  <c r="M7" i="8"/>
  <c r="O7" i="8" s="1"/>
  <c r="Q7" i="8" s="1"/>
  <c r="H7" i="8"/>
  <c r="G7" i="8"/>
  <c r="E7" i="8"/>
  <c r="D7" i="8"/>
  <c r="F7" i="8" s="1"/>
  <c r="Y6" i="8"/>
  <c r="X6" i="8"/>
  <c r="Z6" i="8" s="1"/>
  <c r="W6" i="8"/>
  <c r="V6" i="8"/>
  <c r="O6" i="8"/>
  <c r="N6" i="8"/>
  <c r="P6" i="8" s="1"/>
  <c r="M6" i="8"/>
  <c r="E6" i="8"/>
  <c r="G6" i="8" s="1"/>
  <c r="D6" i="8"/>
  <c r="F6" i="8" s="1"/>
  <c r="H6" i="8" s="1"/>
  <c r="W5" i="8"/>
  <c r="Y5" i="8" s="1"/>
  <c r="V5" i="8"/>
  <c r="X5" i="8" s="1"/>
  <c r="Z5" i="8" s="1"/>
  <c r="N5" i="8"/>
  <c r="P5" i="8" s="1"/>
  <c r="M5" i="8"/>
  <c r="O5" i="8" s="1"/>
  <c r="Q5" i="8" s="1"/>
  <c r="G5" i="8"/>
  <c r="H5" i="8" s="1"/>
  <c r="E5" i="8"/>
  <c r="D5" i="8"/>
  <c r="F5" i="8" s="1"/>
  <c r="Y4" i="8"/>
  <c r="X4" i="8"/>
  <c r="Z4" i="8" s="1"/>
  <c r="W4" i="8"/>
  <c r="V4" i="8"/>
  <c r="O4" i="8"/>
  <c r="N4" i="8"/>
  <c r="P4" i="8" s="1"/>
  <c r="M4" i="8"/>
  <c r="G4" i="8"/>
  <c r="E4" i="8"/>
  <c r="D4" i="8"/>
  <c r="F4" i="8" s="1"/>
  <c r="H4" i="8" s="1"/>
  <c r="W3" i="8"/>
  <c r="Y3" i="8" s="1"/>
  <c r="V3" i="8"/>
  <c r="X3" i="8" s="1"/>
  <c r="Z3" i="8" s="1"/>
  <c r="N3" i="8"/>
  <c r="P3" i="8" s="1"/>
  <c r="M3" i="8"/>
  <c r="O3" i="8" s="1"/>
  <c r="Q3" i="8" s="1"/>
  <c r="G3" i="8"/>
  <c r="H3" i="8" s="1"/>
  <c r="E3" i="8"/>
  <c r="D3" i="8"/>
  <c r="F3" i="8" s="1"/>
  <c r="Y2" i="8"/>
  <c r="X2" i="8"/>
  <c r="Z2" i="8" s="1"/>
  <c r="W2" i="8"/>
  <c r="V2" i="8"/>
  <c r="O2" i="8"/>
  <c r="N2" i="8"/>
  <c r="P2" i="8" s="1"/>
  <c r="M2" i="8"/>
  <c r="G2" i="8"/>
  <c r="E2" i="8"/>
  <c r="D2" i="8"/>
  <c r="F2" i="8" s="1"/>
  <c r="H2" i="8" s="1"/>
  <c r="P31" i="7"/>
  <c r="Q31" i="7" s="1"/>
  <c r="R31" i="7" s="1"/>
  <c r="V31" i="7" s="1"/>
  <c r="J31" i="7"/>
  <c r="K31" i="7" s="1"/>
  <c r="L31" i="7" s="1"/>
  <c r="D31" i="7"/>
  <c r="E31" i="7" s="1"/>
  <c r="F31" i="7" s="1"/>
  <c r="P30" i="7"/>
  <c r="Q30" i="7" s="1"/>
  <c r="R30" i="7" s="1"/>
  <c r="J30" i="7"/>
  <c r="K30" i="7" s="1"/>
  <c r="L30" i="7" s="1"/>
  <c r="D30" i="7"/>
  <c r="E30" i="7" s="1"/>
  <c r="F30" i="7" s="1"/>
  <c r="P29" i="7"/>
  <c r="Q29" i="7" s="1"/>
  <c r="R29" i="7" s="1"/>
  <c r="J29" i="7"/>
  <c r="K29" i="7" s="1"/>
  <c r="L29" i="7" s="1"/>
  <c r="D29" i="7"/>
  <c r="E29" i="7" s="1"/>
  <c r="F29" i="7" s="1"/>
  <c r="U29" i="7" s="1"/>
  <c r="P28" i="7"/>
  <c r="Q28" i="7" s="1"/>
  <c r="R28" i="7" s="1"/>
  <c r="V28" i="7" s="1"/>
  <c r="J28" i="7"/>
  <c r="K28" i="7" s="1"/>
  <c r="L28" i="7" s="1"/>
  <c r="D28" i="7"/>
  <c r="E28" i="7" s="1"/>
  <c r="F28" i="7" s="1"/>
  <c r="P27" i="7"/>
  <c r="Q27" i="7" s="1"/>
  <c r="R27" i="7" s="1"/>
  <c r="J27" i="7"/>
  <c r="K27" i="7" s="1"/>
  <c r="L27" i="7" s="1"/>
  <c r="D27" i="7"/>
  <c r="E27" i="7" s="1"/>
  <c r="F27" i="7" s="1"/>
  <c r="P26" i="7"/>
  <c r="Q26" i="7" s="1"/>
  <c r="R26" i="7" s="1"/>
  <c r="J26" i="7"/>
  <c r="K26" i="7" s="1"/>
  <c r="L26" i="7" s="1"/>
  <c r="D26" i="7"/>
  <c r="E26" i="7" s="1"/>
  <c r="F26" i="7" s="1"/>
  <c r="P25" i="7"/>
  <c r="Q25" i="7" s="1"/>
  <c r="R25" i="7" s="1"/>
  <c r="J25" i="7"/>
  <c r="K25" i="7" s="1"/>
  <c r="L25" i="7" s="1"/>
  <c r="D25" i="7"/>
  <c r="E25" i="7" s="1"/>
  <c r="F25" i="7" s="1"/>
  <c r="P24" i="7"/>
  <c r="Q24" i="7" s="1"/>
  <c r="R24" i="7" s="1"/>
  <c r="J24" i="7"/>
  <c r="K24" i="7" s="1"/>
  <c r="L24" i="7" s="1"/>
  <c r="D24" i="7"/>
  <c r="E24" i="7" s="1"/>
  <c r="F24" i="7" s="1"/>
  <c r="P23" i="7"/>
  <c r="Q23" i="7" s="1"/>
  <c r="R23" i="7" s="1"/>
  <c r="J23" i="7"/>
  <c r="K23" i="7" s="1"/>
  <c r="L23" i="7" s="1"/>
  <c r="D23" i="7"/>
  <c r="E23" i="7" s="1"/>
  <c r="F23" i="7" s="1"/>
  <c r="P22" i="7"/>
  <c r="Q22" i="7" s="1"/>
  <c r="R22" i="7" s="1"/>
  <c r="J22" i="7"/>
  <c r="K22" i="7" s="1"/>
  <c r="L22" i="7" s="1"/>
  <c r="D22" i="7"/>
  <c r="E22" i="7" s="1"/>
  <c r="F22" i="7" s="1"/>
  <c r="V22" i="7" s="1"/>
  <c r="P21" i="7"/>
  <c r="Q21" i="7" s="1"/>
  <c r="R21" i="7" s="1"/>
  <c r="J21" i="7"/>
  <c r="K21" i="7" s="1"/>
  <c r="L21" i="7" s="1"/>
  <c r="D21" i="7"/>
  <c r="E21" i="7" s="1"/>
  <c r="F21" i="7" s="1"/>
  <c r="P20" i="7"/>
  <c r="Q20" i="7" s="1"/>
  <c r="R20" i="7" s="1"/>
  <c r="J20" i="7"/>
  <c r="K20" i="7" s="1"/>
  <c r="L20" i="7" s="1"/>
  <c r="D20" i="7"/>
  <c r="E20" i="7" s="1"/>
  <c r="F20" i="7" s="1"/>
  <c r="P19" i="7"/>
  <c r="Q19" i="7" s="1"/>
  <c r="R19" i="7" s="1"/>
  <c r="J19" i="7"/>
  <c r="K19" i="7" s="1"/>
  <c r="L19" i="7" s="1"/>
  <c r="D19" i="7"/>
  <c r="E19" i="7" s="1"/>
  <c r="F19" i="7" s="1"/>
  <c r="P18" i="7"/>
  <c r="Q18" i="7" s="1"/>
  <c r="R18" i="7" s="1"/>
  <c r="J18" i="7"/>
  <c r="K18" i="7" s="1"/>
  <c r="L18" i="7" s="1"/>
  <c r="D18" i="7"/>
  <c r="E18" i="7" s="1"/>
  <c r="F18" i="7" s="1"/>
  <c r="P17" i="7"/>
  <c r="Q17" i="7" s="1"/>
  <c r="R17" i="7" s="1"/>
  <c r="J17" i="7"/>
  <c r="K17" i="7" s="1"/>
  <c r="L17" i="7" s="1"/>
  <c r="D17" i="7"/>
  <c r="E17" i="7" s="1"/>
  <c r="F17" i="7" s="1"/>
  <c r="P16" i="7"/>
  <c r="Q16" i="7" s="1"/>
  <c r="R16" i="7" s="1"/>
  <c r="J16" i="7"/>
  <c r="K16" i="7" s="1"/>
  <c r="L16" i="7" s="1"/>
  <c r="D16" i="7"/>
  <c r="E16" i="7" s="1"/>
  <c r="P15" i="7"/>
  <c r="Q15" i="7" s="1"/>
  <c r="R15" i="7" s="1"/>
  <c r="U15" i="7" s="1"/>
  <c r="J15" i="7"/>
  <c r="K15" i="7" s="1"/>
  <c r="L15" i="7" s="1"/>
  <c r="D15" i="7"/>
  <c r="E15" i="7" s="1"/>
  <c r="F15" i="7" s="1"/>
  <c r="P14" i="7"/>
  <c r="Q14" i="7" s="1"/>
  <c r="R14" i="7" s="1"/>
  <c r="J14" i="7"/>
  <c r="K14" i="7" s="1"/>
  <c r="L14" i="7" s="1"/>
  <c r="D14" i="7"/>
  <c r="E14" i="7" s="1"/>
  <c r="F14" i="7" s="1"/>
  <c r="P13" i="7"/>
  <c r="Q13" i="7" s="1"/>
  <c r="R13" i="7" s="1"/>
  <c r="J13" i="7"/>
  <c r="K13" i="7" s="1"/>
  <c r="L13" i="7" s="1"/>
  <c r="D13" i="7"/>
  <c r="E13" i="7" s="1"/>
  <c r="F13" i="7" s="1"/>
  <c r="P12" i="7"/>
  <c r="Q12" i="7" s="1"/>
  <c r="R12" i="7" s="1"/>
  <c r="J12" i="7"/>
  <c r="K12" i="7" s="1"/>
  <c r="L12" i="7" s="1"/>
  <c r="D12" i="7"/>
  <c r="E12" i="7" s="1"/>
  <c r="F12" i="7" s="1"/>
  <c r="P11" i="7"/>
  <c r="Q11" i="7" s="1"/>
  <c r="R11" i="7" s="1"/>
  <c r="J11" i="7"/>
  <c r="K11" i="7" s="1"/>
  <c r="L11" i="7" s="1"/>
  <c r="D11" i="7"/>
  <c r="E11" i="7" s="1"/>
  <c r="F11" i="7" s="1"/>
  <c r="P10" i="7"/>
  <c r="Q10" i="7" s="1"/>
  <c r="R10" i="7" s="1"/>
  <c r="J10" i="7"/>
  <c r="K10" i="7" s="1"/>
  <c r="L10" i="7" s="1"/>
  <c r="E10" i="7"/>
  <c r="F10" i="7" s="1"/>
  <c r="D10" i="7"/>
  <c r="P9" i="7"/>
  <c r="Q9" i="7" s="1"/>
  <c r="R9" i="7" s="1"/>
  <c r="J9" i="7"/>
  <c r="K9" i="7" s="1"/>
  <c r="L9" i="7" s="1"/>
  <c r="D9" i="7"/>
  <c r="E9" i="7" s="1"/>
  <c r="F9" i="7" s="1"/>
  <c r="P8" i="7"/>
  <c r="Q8" i="7" s="1"/>
  <c r="R8" i="7" s="1"/>
  <c r="J8" i="7"/>
  <c r="K8" i="7" s="1"/>
  <c r="L8" i="7" s="1"/>
  <c r="D8" i="7"/>
  <c r="E8" i="7" s="1"/>
  <c r="F8" i="7" s="1"/>
  <c r="P7" i="7"/>
  <c r="Q7" i="7" s="1"/>
  <c r="R7" i="7" s="1"/>
  <c r="J7" i="7"/>
  <c r="K7" i="7" s="1"/>
  <c r="L7" i="7" s="1"/>
  <c r="F7" i="7"/>
  <c r="D7" i="7"/>
  <c r="E7" i="7" s="1"/>
  <c r="P6" i="7"/>
  <c r="Q6" i="7" s="1"/>
  <c r="R6" i="7" s="1"/>
  <c r="J6" i="7"/>
  <c r="K6" i="7" s="1"/>
  <c r="L6" i="7" s="1"/>
  <c r="D6" i="7"/>
  <c r="E6" i="7" s="1"/>
  <c r="F6" i="7" s="1"/>
  <c r="P5" i="7"/>
  <c r="Q5" i="7" s="1"/>
  <c r="R5" i="7" s="1"/>
  <c r="J5" i="7"/>
  <c r="K5" i="7" s="1"/>
  <c r="L5" i="7" s="1"/>
  <c r="D5" i="7"/>
  <c r="E5" i="7" s="1"/>
  <c r="F5" i="7" s="1"/>
  <c r="U5" i="7" s="1"/>
  <c r="P4" i="7"/>
  <c r="Q4" i="7" s="1"/>
  <c r="R4" i="7" s="1"/>
  <c r="J4" i="7"/>
  <c r="K4" i="7" s="1"/>
  <c r="L4" i="7" s="1"/>
  <c r="D4" i="7"/>
  <c r="E4" i="7" s="1"/>
  <c r="F4" i="7" s="1"/>
  <c r="V4" i="7" s="1"/>
  <c r="P3" i="7"/>
  <c r="Q3" i="7" s="1"/>
  <c r="R3" i="7" s="1"/>
  <c r="K3" i="7"/>
  <c r="L3" i="7" s="1"/>
  <c r="J3" i="7"/>
  <c r="D3" i="7"/>
  <c r="E3" i="7" s="1"/>
  <c r="F3" i="7" s="1"/>
  <c r="U3" i="7" s="1"/>
  <c r="P2" i="7"/>
  <c r="Q2" i="7" s="1"/>
  <c r="R2" i="7" s="1"/>
  <c r="J2" i="7"/>
  <c r="K2" i="7" s="1"/>
  <c r="L2" i="7" s="1"/>
  <c r="D2" i="7"/>
  <c r="E2" i="7" s="1"/>
  <c r="F2" i="7" s="1"/>
  <c r="V25" i="7" l="1"/>
  <c r="V29" i="7"/>
  <c r="U28" i="7"/>
  <c r="U25" i="7"/>
  <c r="U23" i="7"/>
  <c r="V20" i="7"/>
  <c r="V5" i="7"/>
  <c r="U4" i="7"/>
  <c r="V15" i="7"/>
  <c r="U26" i="7"/>
  <c r="V26" i="7"/>
  <c r="V23" i="7"/>
  <c r="V30" i="7"/>
  <c r="U30" i="7"/>
  <c r="U31" i="7"/>
  <c r="V24" i="7"/>
  <c r="U24" i="7"/>
  <c r="U22" i="7"/>
  <c r="V11" i="7"/>
  <c r="U11" i="7"/>
  <c r="V12" i="7"/>
  <c r="U12" i="7"/>
  <c r="Q2" i="8"/>
  <c r="Q4" i="8"/>
  <c r="Q6" i="8"/>
  <c r="Q10" i="8"/>
  <c r="Q14" i="8"/>
  <c r="Q18" i="8"/>
  <c r="Q22" i="8"/>
  <c r="Q30" i="8"/>
  <c r="Q26" i="8"/>
  <c r="Q8" i="8"/>
  <c r="Q12" i="8"/>
  <c r="Q16" i="8"/>
  <c r="Q20" i="8"/>
  <c r="Q24" i="8"/>
  <c r="Q28" i="8"/>
  <c r="AK30" i="6" l="1"/>
  <c r="AM30" i="6" s="1"/>
  <c r="AJ31" i="6"/>
  <c r="AL31" i="6" s="1"/>
  <c r="AK31" i="6"/>
  <c r="AM31" i="6" s="1"/>
  <c r="AH30" i="6"/>
  <c r="AJ30" i="6" s="1"/>
  <c r="AL30" i="6" s="1"/>
  <c r="AJ29" i="6"/>
  <c r="AL29" i="6" s="1"/>
  <c r="AK28" i="6"/>
  <c r="AM28" i="6" s="1"/>
  <c r="AH27" i="6"/>
  <c r="AJ27" i="6" s="1"/>
  <c r="AL27" i="6" s="1"/>
  <c r="AI27" i="6"/>
  <c r="AK27" i="6" s="1"/>
  <c r="AM27" i="6" s="1"/>
  <c r="AK26" i="6"/>
  <c r="AM26" i="6" s="1"/>
  <c r="AJ26" i="6"/>
  <c r="AL26" i="6" s="1"/>
  <c r="AI25" i="6"/>
  <c r="AK25" i="6" s="1"/>
  <c r="AM25" i="6" s="1"/>
  <c r="AH25" i="6"/>
  <c r="AJ25" i="6" s="1"/>
  <c r="AL25" i="6" s="1"/>
  <c r="AK24" i="6"/>
  <c r="AM24" i="6" s="1"/>
  <c r="AH24" i="6"/>
  <c r="AJ24" i="6" s="1"/>
  <c r="AL24" i="6" s="1"/>
  <c r="AH23" i="6"/>
  <c r="AJ23" i="6" s="1"/>
  <c r="AL23" i="6" s="1"/>
  <c r="AH21" i="6"/>
  <c r="AJ21" i="6" s="1"/>
  <c r="AL21" i="6" s="1"/>
  <c r="AI21" i="6"/>
  <c r="AK21" i="6" s="1"/>
  <c r="AM21" i="6" s="1"/>
  <c r="AJ20" i="6"/>
  <c r="AL20" i="6" s="1"/>
  <c r="AI20" i="6"/>
  <c r="AK20" i="6" s="1"/>
  <c r="AM20" i="6" s="1"/>
  <c r="AH19" i="6"/>
  <c r="AJ19" i="6" s="1"/>
  <c r="AL19" i="6" s="1"/>
  <c r="AK18" i="6"/>
  <c r="AM18" i="6" s="1"/>
  <c r="AH18" i="6"/>
  <c r="AJ18" i="6" s="1"/>
  <c r="AL18" i="6" s="1"/>
  <c r="AJ17" i="6"/>
  <c r="AL17" i="6" s="1"/>
  <c r="AI17" i="6"/>
  <c r="AK17" i="6" s="1"/>
  <c r="AM17" i="6" s="1"/>
  <c r="AK29" i="6"/>
  <c r="AM29" i="6" s="1"/>
  <c r="AK22" i="6"/>
  <c r="AM22" i="6" s="1"/>
  <c r="AK19" i="6"/>
  <c r="AM19" i="6" s="1"/>
  <c r="AI23" i="6"/>
  <c r="AK23" i="6" s="1"/>
  <c r="AM23" i="6" s="1"/>
  <c r="T30" i="6"/>
  <c r="V30" i="6" s="1"/>
  <c r="X30" i="6" s="1"/>
  <c r="U30" i="6"/>
  <c r="W30" i="6" s="1"/>
  <c r="Y30" i="6" s="1"/>
  <c r="T29" i="6"/>
  <c r="V29" i="6" s="1"/>
  <c r="X29" i="6" s="1"/>
  <c r="U29" i="6"/>
  <c r="W29" i="6" s="1"/>
  <c r="Y29" i="6" s="1"/>
  <c r="U23" i="6"/>
  <c r="W23" i="6" s="1"/>
  <c r="Y23" i="6" s="1"/>
  <c r="U21" i="6"/>
  <c r="W21" i="6" s="1"/>
  <c r="Y21" i="6" s="1"/>
  <c r="W28" i="6"/>
  <c r="Y28" i="6" s="1"/>
  <c r="U31" i="6"/>
  <c r="W31" i="6" s="1"/>
  <c r="Y31" i="6" s="1"/>
  <c r="U28" i="6"/>
  <c r="U27" i="6"/>
  <c r="W27" i="6" s="1"/>
  <c r="Y27" i="6" s="1"/>
  <c r="U26" i="6"/>
  <c r="W26" i="6" s="1"/>
  <c r="Y26" i="6" s="1"/>
  <c r="U25" i="6"/>
  <c r="W25" i="6" s="1"/>
  <c r="Y25" i="6" s="1"/>
  <c r="U24" i="6"/>
  <c r="W24" i="6" s="1"/>
  <c r="Y24" i="6" s="1"/>
  <c r="U22" i="6"/>
  <c r="W22" i="6" s="1"/>
  <c r="Y22" i="6" s="1"/>
  <c r="U20" i="6"/>
  <c r="W20" i="6" s="1"/>
  <c r="Y20" i="6" s="1"/>
  <c r="U19" i="6"/>
  <c r="W19" i="6" s="1"/>
  <c r="Y19" i="6" s="1"/>
  <c r="U18" i="6"/>
  <c r="W18" i="6" s="1"/>
  <c r="Y18" i="6" s="1"/>
  <c r="U17" i="6"/>
  <c r="W17" i="6" s="1"/>
  <c r="Y17" i="6" s="1"/>
  <c r="AA17" i="6" s="1"/>
  <c r="H31" i="6"/>
  <c r="J31" i="6" s="1"/>
  <c r="H30" i="6"/>
  <c r="J30" i="6" s="1"/>
  <c r="I31" i="6"/>
  <c r="K31" i="6" s="1"/>
  <c r="G29" i="6"/>
  <c r="I29" i="6" s="1"/>
  <c r="K29" i="6" s="1"/>
  <c r="F29" i="6"/>
  <c r="H29" i="6" s="1"/>
  <c r="J29" i="6" s="1"/>
  <c r="F23" i="6"/>
  <c r="H23" i="6" s="1"/>
  <c r="J23" i="6" s="1"/>
  <c r="I23" i="6"/>
  <c r="K23" i="6" s="1"/>
  <c r="G19" i="6"/>
  <c r="I19" i="6" s="1"/>
  <c r="K19" i="6" s="1"/>
  <c r="I30" i="6"/>
  <c r="K30" i="6" s="1"/>
  <c r="G28" i="6"/>
  <c r="I28" i="6" s="1"/>
  <c r="K28" i="6" s="1"/>
  <c r="G27" i="6"/>
  <c r="I27" i="6" s="1"/>
  <c r="K27" i="6" s="1"/>
  <c r="G26" i="6"/>
  <c r="I26" i="6" s="1"/>
  <c r="K26" i="6" s="1"/>
  <c r="G25" i="6"/>
  <c r="I25" i="6" s="1"/>
  <c r="K25" i="6" s="1"/>
  <c r="G24" i="6"/>
  <c r="I24" i="6" s="1"/>
  <c r="K24" i="6" s="1"/>
  <c r="G22" i="6"/>
  <c r="I22" i="6" s="1"/>
  <c r="K22" i="6" s="1"/>
  <c r="M22" i="6" s="1"/>
  <c r="G21" i="6"/>
  <c r="I21" i="6" s="1"/>
  <c r="K21" i="6" s="1"/>
  <c r="G20" i="6"/>
  <c r="I20" i="6" s="1"/>
  <c r="K20" i="6" s="1"/>
  <c r="F19" i="6"/>
  <c r="H19" i="6" s="1"/>
  <c r="J19" i="6" s="1"/>
  <c r="T31" i="6"/>
  <c r="V31" i="6" s="1"/>
  <c r="X31" i="6" s="1"/>
  <c r="AJ28" i="6"/>
  <c r="AL28" i="6" s="1"/>
  <c r="T28" i="6"/>
  <c r="V28" i="6" s="1"/>
  <c r="X28" i="6" s="1"/>
  <c r="F28" i="6"/>
  <c r="H28" i="6" s="1"/>
  <c r="J28" i="6" s="1"/>
  <c r="V27" i="6"/>
  <c r="X27" i="6" s="1"/>
  <c r="F27" i="6"/>
  <c r="H27" i="6" s="1"/>
  <c r="J27" i="6" s="1"/>
  <c r="T26" i="6"/>
  <c r="V26" i="6" s="1"/>
  <c r="X26" i="6" s="1"/>
  <c r="F26" i="6"/>
  <c r="H26" i="6" s="1"/>
  <c r="J26" i="6" s="1"/>
  <c r="T25" i="6"/>
  <c r="V25" i="6" s="1"/>
  <c r="X25" i="6" s="1"/>
  <c r="H25" i="6"/>
  <c r="J25" i="6" s="1"/>
  <c r="T24" i="6"/>
  <c r="V24" i="6" s="1"/>
  <c r="X24" i="6" s="1"/>
  <c r="F24" i="6"/>
  <c r="T23" i="6"/>
  <c r="V23" i="6" s="1"/>
  <c r="X23" i="6" s="1"/>
  <c r="AJ22" i="6"/>
  <c r="AL22" i="6" s="1"/>
  <c r="X22" i="6"/>
  <c r="T22" i="6"/>
  <c r="V22" i="6" s="1"/>
  <c r="F22" i="6"/>
  <c r="H22" i="6" s="1"/>
  <c r="J22" i="6" s="1"/>
  <c r="T21" i="6"/>
  <c r="V21" i="6" s="1"/>
  <c r="X21" i="6" s="1"/>
  <c r="F21" i="6"/>
  <c r="H21" i="6" s="1"/>
  <c r="J21" i="6" s="1"/>
  <c r="T20" i="6"/>
  <c r="V20" i="6" s="1"/>
  <c r="X20" i="6" s="1"/>
  <c r="F20" i="6"/>
  <c r="H20" i="6" s="1"/>
  <c r="J20" i="6" s="1"/>
  <c r="T19" i="6"/>
  <c r="V19" i="6" s="1"/>
  <c r="X19" i="6" s="1"/>
  <c r="T18" i="6"/>
  <c r="V18" i="6" s="1"/>
  <c r="X18" i="6" s="1"/>
  <c r="G18" i="6"/>
  <c r="I18" i="6" s="1"/>
  <c r="K18" i="6" s="1"/>
  <c r="F18" i="6"/>
  <c r="H18" i="6" s="1"/>
  <c r="J18" i="6" s="1"/>
  <c r="T17" i="6"/>
  <c r="V17" i="6" s="1"/>
  <c r="X17" i="6" s="1"/>
  <c r="G17" i="6"/>
  <c r="I17" i="6" s="1"/>
  <c r="K17" i="6" s="1"/>
  <c r="F17" i="6"/>
  <c r="H17" i="6" s="1"/>
  <c r="J17" i="6" s="1"/>
  <c r="AI16" i="6"/>
  <c r="AK16" i="6" s="1"/>
  <c r="AM16" i="6" s="1"/>
  <c r="AO16" i="6" s="1"/>
  <c r="AH16" i="6"/>
  <c r="AJ16" i="6" s="1"/>
  <c r="AL16" i="6" s="1"/>
  <c r="U16" i="6"/>
  <c r="W16" i="6" s="1"/>
  <c r="Y16" i="6" s="1"/>
  <c r="T16" i="6"/>
  <c r="V16" i="6" s="1"/>
  <c r="X16" i="6" s="1"/>
  <c r="G16" i="6"/>
  <c r="I16" i="6" s="1"/>
  <c r="K16" i="6" s="1"/>
  <c r="F16" i="6"/>
  <c r="H16" i="6" s="1"/>
  <c r="J16" i="6" s="1"/>
  <c r="AI15" i="6"/>
  <c r="AK15" i="6" s="1"/>
  <c r="AM15" i="6" s="1"/>
  <c r="AH15" i="6"/>
  <c r="AJ15" i="6" s="1"/>
  <c r="AL15" i="6" s="1"/>
  <c r="U15" i="6"/>
  <c r="W15" i="6" s="1"/>
  <c r="Y15" i="6" s="1"/>
  <c r="T15" i="6"/>
  <c r="V15" i="6" s="1"/>
  <c r="X15" i="6" s="1"/>
  <c r="AA15" i="6" s="1"/>
  <c r="G15" i="6"/>
  <c r="I15" i="6" s="1"/>
  <c r="K15" i="6" s="1"/>
  <c r="F15" i="6"/>
  <c r="H15" i="6" s="1"/>
  <c r="J15" i="6" s="1"/>
  <c r="M15" i="6" s="1"/>
  <c r="AI14" i="6"/>
  <c r="AK14" i="6" s="1"/>
  <c r="AM14" i="6" s="1"/>
  <c r="AH14" i="6"/>
  <c r="AJ14" i="6" s="1"/>
  <c r="AL14" i="6" s="1"/>
  <c r="AO14" i="6" s="1"/>
  <c r="W14" i="6"/>
  <c r="Y14" i="6" s="1"/>
  <c r="U14" i="6"/>
  <c r="T14" i="6"/>
  <c r="V14" i="6" s="1"/>
  <c r="X14" i="6" s="1"/>
  <c r="G14" i="6"/>
  <c r="I14" i="6" s="1"/>
  <c r="K14" i="6" s="1"/>
  <c r="F14" i="6"/>
  <c r="H14" i="6" s="1"/>
  <c r="J14" i="6" s="1"/>
  <c r="AI13" i="6"/>
  <c r="AK13" i="6" s="1"/>
  <c r="AM13" i="6" s="1"/>
  <c r="AH13" i="6"/>
  <c r="AJ13" i="6" s="1"/>
  <c r="AL13" i="6" s="1"/>
  <c r="U13" i="6"/>
  <c r="W13" i="6" s="1"/>
  <c r="Y13" i="6" s="1"/>
  <c r="T13" i="6"/>
  <c r="V13" i="6" s="1"/>
  <c r="X13" i="6" s="1"/>
  <c r="G13" i="6"/>
  <c r="I13" i="6" s="1"/>
  <c r="K13" i="6" s="1"/>
  <c r="F13" i="6"/>
  <c r="H13" i="6" s="1"/>
  <c r="J13" i="6" s="1"/>
  <c r="AK12" i="6"/>
  <c r="AM12" i="6" s="1"/>
  <c r="AH12" i="6"/>
  <c r="AJ12" i="6" s="1"/>
  <c r="AL12" i="6" s="1"/>
  <c r="W12" i="6"/>
  <c r="Y12" i="6" s="1"/>
  <c r="T12" i="6"/>
  <c r="V12" i="6" s="1"/>
  <c r="X12" i="6" s="1"/>
  <c r="G12" i="6"/>
  <c r="I12" i="6" s="1"/>
  <c r="K12" i="6" s="1"/>
  <c r="F12" i="6"/>
  <c r="H12" i="6" s="1"/>
  <c r="J12" i="6" s="1"/>
  <c r="AK11" i="6"/>
  <c r="AM11" i="6" s="1"/>
  <c r="AH11" i="6"/>
  <c r="AJ11" i="6" s="1"/>
  <c r="AL11" i="6" s="1"/>
  <c r="U11" i="6"/>
  <c r="W11" i="6" s="1"/>
  <c r="Y11" i="6" s="1"/>
  <c r="T11" i="6"/>
  <c r="V11" i="6" s="1"/>
  <c r="X11" i="6" s="1"/>
  <c r="G11" i="6"/>
  <c r="I11" i="6" s="1"/>
  <c r="K11" i="6" s="1"/>
  <c r="F11" i="6"/>
  <c r="H11" i="6" s="1"/>
  <c r="J11" i="6" s="1"/>
  <c r="AI10" i="6"/>
  <c r="AK10" i="6" s="1"/>
  <c r="AM10" i="6" s="1"/>
  <c r="AH10" i="6"/>
  <c r="AJ10" i="6" s="1"/>
  <c r="AL10" i="6" s="1"/>
  <c r="U10" i="6"/>
  <c r="W10" i="6" s="1"/>
  <c r="Y10" i="6" s="1"/>
  <c r="T10" i="6"/>
  <c r="V10" i="6" s="1"/>
  <c r="X10" i="6" s="1"/>
  <c r="AA10" i="6" s="1"/>
  <c r="G10" i="6"/>
  <c r="I10" i="6" s="1"/>
  <c r="K10" i="6" s="1"/>
  <c r="F10" i="6"/>
  <c r="H10" i="6" s="1"/>
  <c r="J10" i="6" s="1"/>
  <c r="AI9" i="6"/>
  <c r="AK9" i="6" s="1"/>
  <c r="AM9" i="6" s="1"/>
  <c r="AH9" i="6"/>
  <c r="AJ9" i="6" s="1"/>
  <c r="AL9" i="6" s="1"/>
  <c r="W9" i="6"/>
  <c r="Y9" i="6" s="1"/>
  <c r="U9" i="6"/>
  <c r="T9" i="6"/>
  <c r="V9" i="6" s="1"/>
  <c r="X9" i="6" s="1"/>
  <c r="G9" i="6"/>
  <c r="I9" i="6" s="1"/>
  <c r="K9" i="6" s="1"/>
  <c r="F9" i="6"/>
  <c r="H9" i="6" s="1"/>
  <c r="J9" i="6" s="1"/>
  <c r="AI8" i="6"/>
  <c r="AK8" i="6" s="1"/>
  <c r="AM8" i="6" s="1"/>
  <c r="AH8" i="6"/>
  <c r="AJ8" i="6" s="1"/>
  <c r="AL8" i="6" s="1"/>
  <c r="U8" i="6"/>
  <c r="W8" i="6" s="1"/>
  <c r="Y8" i="6" s="1"/>
  <c r="T8" i="6"/>
  <c r="V8" i="6" s="1"/>
  <c r="X8" i="6" s="1"/>
  <c r="G8" i="6"/>
  <c r="I8" i="6" s="1"/>
  <c r="K8" i="6" s="1"/>
  <c r="F8" i="6"/>
  <c r="H8" i="6" s="1"/>
  <c r="J8" i="6" s="1"/>
  <c r="AI7" i="6"/>
  <c r="AK7" i="6" s="1"/>
  <c r="AM7" i="6" s="1"/>
  <c r="AH7" i="6"/>
  <c r="AJ7" i="6" s="1"/>
  <c r="AL7" i="6" s="1"/>
  <c r="U7" i="6"/>
  <c r="W7" i="6" s="1"/>
  <c r="Y7" i="6" s="1"/>
  <c r="T7" i="6"/>
  <c r="V7" i="6" s="1"/>
  <c r="X7" i="6" s="1"/>
  <c r="G7" i="6"/>
  <c r="I7" i="6" s="1"/>
  <c r="K7" i="6" s="1"/>
  <c r="F7" i="6"/>
  <c r="H7" i="6" s="1"/>
  <c r="J7" i="6" s="1"/>
  <c r="AI6" i="6"/>
  <c r="AK6" i="6" s="1"/>
  <c r="AM6" i="6" s="1"/>
  <c r="AH6" i="6"/>
  <c r="AJ6" i="6" s="1"/>
  <c r="AL6" i="6" s="1"/>
  <c r="U6" i="6"/>
  <c r="W6" i="6" s="1"/>
  <c r="Y6" i="6" s="1"/>
  <c r="T6" i="6"/>
  <c r="V6" i="6" s="1"/>
  <c r="X6" i="6" s="1"/>
  <c r="G6" i="6"/>
  <c r="I6" i="6" s="1"/>
  <c r="K6" i="6" s="1"/>
  <c r="F6" i="6"/>
  <c r="H6" i="6" s="1"/>
  <c r="J6" i="6" s="1"/>
  <c r="M6" i="6" s="1"/>
  <c r="AI5" i="6"/>
  <c r="AK5" i="6" s="1"/>
  <c r="AM5" i="6" s="1"/>
  <c r="AH5" i="6"/>
  <c r="AJ5" i="6" s="1"/>
  <c r="AL5" i="6" s="1"/>
  <c r="U5" i="6"/>
  <c r="W5" i="6" s="1"/>
  <c r="Y5" i="6" s="1"/>
  <c r="T5" i="6"/>
  <c r="V5" i="6" s="1"/>
  <c r="X5" i="6" s="1"/>
  <c r="I5" i="6"/>
  <c r="K5" i="6" s="1"/>
  <c r="G5" i="6"/>
  <c r="F5" i="6"/>
  <c r="H5" i="6" s="1"/>
  <c r="J5" i="6" s="1"/>
  <c r="AI4" i="6"/>
  <c r="AK4" i="6" s="1"/>
  <c r="AM4" i="6" s="1"/>
  <c r="AH4" i="6"/>
  <c r="AJ4" i="6" s="1"/>
  <c r="AL4" i="6" s="1"/>
  <c r="U4" i="6"/>
  <c r="W4" i="6" s="1"/>
  <c r="Y4" i="6" s="1"/>
  <c r="T4" i="6"/>
  <c r="V4" i="6" s="1"/>
  <c r="X4" i="6" s="1"/>
  <c r="G4" i="6"/>
  <c r="I4" i="6" s="1"/>
  <c r="K4" i="6" s="1"/>
  <c r="F4" i="6"/>
  <c r="H4" i="6" s="1"/>
  <c r="J4" i="6" s="1"/>
  <c r="AI3" i="6"/>
  <c r="AK3" i="6" s="1"/>
  <c r="AM3" i="6" s="1"/>
  <c r="AH3" i="6"/>
  <c r="AJ3" i="6" s="1"/>
  <c r="AL3" i="6" s="1"/>
  <c r="W3" i="6"/>
  <c r="Y3" i="6" s="1"/>
  <c r="U3" i="6"/>
  <c r="T3" i="6"/>
  <c r="V3" i="6" s="1"/>
  <c r="X3" i="6" s="1"/>
  <c r="G3" i="6"/>
  <c r="I3" i="6" s="1"/>
  <c r="K3" i="6" s="1"/>
  <c r="F3" i="6"/>
  <c r="H3" i="6" s="1"/>
  <c r="J3" i="6" s="1"/>
  <c r="AI2" i="6"/>
  <c r="AK2" i="6" s="1"/>
  <c r="AM2" i="6" s="1"/>
  <c r="AH2" i="6"/>
  <c r="AJ2" i="6" s="1"/>
  <c r="AL2" i="6" s="1"/>
  <c r="U2" i="6"/>
  <c r="W2" i="6" s="1"/>
  <c r="Y2" i="6" s="1"/>
  <c r="T2" i="6"/>
  <c r="V2" i="6" s="1"/>
  <c r="X2" i="6" s="1"/>
  <c r="G2" i="6"/>
  <c r="I2" i="6" s="1"/>
  <c r="K2" i="6" s="1"/>
  <c r="F2" i="6"/>
  <c r="H2" i="6" s="1"/>
  <c r="J2" i="6" s="1"/>
  <c r="M2" i="6" s="1"/>
  <c r="AO28" i="6" l="1"/>
  <c r="AO11" i="6"/>
  <c r="AS11" i="6" s="1"/>
  <c r="M28" i="6"/>
  <c r="AT28" i="6" s="1"/>
  <c r="AO21" i="6"/>
  <c r="M20" i="6"/>
  <c r="AO5" i="6"/>
  <c r="AS5" i="6" s="1"/>
  <c r="AO4" i="6"/>
  <c r="AS4" i="6" s="1"/>
  <c r="AO3" i="6"/>
  <c r="AA12" i="6"/>
  <c r="AO30" i="6"/>
  <c r="AA7" i="6"/>
  <c r="AA28" i="6"/>
  <c r="AO20" i="6"/>
  <c r="AA18" i="6"/>
  <c r="AA2" i="6"/>
  <c r="AA6" i="6"/>
  <c r="AT6" i="6" s="1"/>
  <c r="AO9" i="6"/>
  <c r="AA19" i="6"/>
  <c r="AO2" i="6"/>
  <c r="AS2" i="6" s="1"/>
  <c r="AA3" i="6"/>
  <c r="AA13" i="6"/>
  <c r="M21" i="6"/>
  <c r="AO8" i="6"/>
  <c r="AA9" i="6"/>
  <c r="AA11" i="6"/>
  <c r="AO6" i="6"/>
  <c r="AO12" i="6"/>
  <c r="AS12" i="6" s="1"/>
  <c r="AO15" i="6"/>
  <c r="AS15" i="6" s="1"/>
  <c r="AO7" i="6"/>
  <c r="AA8" i="6"/>
  <c r="AO13" i="6"/>
  <c r="AA14" i="6"/>
  <c r="AA16" i="6"/>
  <c r="AS16" i="6" s="1"/>
  <c r="AA20" i="6"/>
  <c r="AO25" i="6"/>
  <c r="AO10" i="6"/>
  <c r="AS10" i="6" s="1"/>
  <c r="AO31" i="6"/>
  <c r="AS31" i="6" s="1"/>
  <c r="AO29" i="6"/>
  <c r="AS29" i="6" s="1"/>
  <c r="AO27" i="6"/>
  <c r="AS27" i="6" s="1"/>
  <c r="AO26" i="6"/>
  <c r="AS26" i="6" s="1"/>
  <c r="AO24" i="6"/>
  <c r="AS24" i="6" s="1"/>
  <c r="AO23" i="6"/>
  <c r="AS23" i="6" s="1"/>
  <c r="AO22" i="6"/>
  <c r="AS22" i="6" s="1"/>
  <c r="AO19" i="6"/>
  <c r="AO17" i="6"/>
  <c r="AA31" i="6"/>
  <c r="AA30" i="6"/>
  <c r="AA29" i="6"/>
  <c r="AA27" i="6"/>
  <c r="AA26" i="6"/>
  <c r="AA25" i="6"/>
  <c r="AA24" i="6"/>
  <c r="AA23" i="6"/>
  <c r="AA21" i="6"/>
  <c r="M30" i="6"/>
  <c r="AT30" i="6" s="1"/>
  <c r="M31" i="6"/>
  <c r="M29" i="6"/>
  <c r="M27" i="6"/>
  <c r="M26" i="6"/>
  <c r="H24" i="6"/>
  <c r="J24" i="6" s="1"/>
  <c r="M24" i="6" s="1"/>
  <c r="M23" i="6"/>
  <c r="M19" i="6"/>
  <c r="AA4" i="6"/>
  <c r="AA5" i="6"/>
  <c r="M7" i="6"/>
  <c r="AT7" i="6" s="1"/>
  <c r="M9" i="6"/>
  <c r="AT9" i="6" s="1"/>
  <c r="M13" i="6"/>
  <c r="AT13" i="6" s="1"/>
  <c r="M3" i="6"/>
  <c r="AT3" i="6" s="1"/>
  <c r="M8" i="6"/>
  <c r="M10" i="6"/>
  <c r="M12" i="6"/>
  <c r="M14" i="6"/>
  <c r="AT14" i="6" s="1"/>
  <c r="M11" i="6"/>
  <c r="M5" i="6"/>
  <c r="M17" i="6"/>
  <c r="AT17" i="6" s="1"/>
  <c r="M4" i="6"/>
  <c r="M16" i="6"/>
  <c r="AT16" i="6" s="1"/>
  <c r="S32" i="4"/>
  <c r="S22" i="4"/>
  <c r="S23" i="4"/>
  <c r="S24" i="4"/>
  <c r="S25" i="4"/>
  <c r="S26" i="4"/>
  <c r="S27" i="4"/>
  <c r="S28" i="4"/>
  <c r="S29" i="4"/>
  <c r="S30" i="4"/>
  <c r="S31" i="4"/>
  <c r="S4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3" i="4"/>
  <c r="O32" i="4"/>
  <c r="N32" i="4"/>
  <c r="I32" i="4"/>
  <c r="J32" i="4" s="1"/>
  <c r="D32" i="4"/>
  <c r="E32" i="4" s="1"/>
  <c r="O31" i="4"/>
  <c r="N31" i="4"/>
  <c r="I31" i="4"/>
  <c r="J31" i="4" s="1"/>
  <c r="D31" i="4"/>
  <c r="E31" i="4" s="1"/>
  <c r="O30" i="4"/>
  <c r="N30" i="4"/>
  <c r="I30" i="4"/>
  <c r="J30" i="4" s="1"/>
  <c r="D30" i="4"/>
  <c r="E30" i="4" s="1"/>
  <c r="O29" i="4"/>
  <c r="N29" i="4"/>
  <c r="I29" i="4"/>
  <c r="J29" i="4" s="1"/>
  <c r="D29" i="4"/>
  <c r="E29" i="4" s="1"/>
  <c r="O28" i="4"/>
  <c r="N28" i="4"/>
  <c r="I28" i="4"/>
  <c r="J28" i="4" s="1"/>
  <c r="D28" i="4"/>
  <c r="E28" i="4" s="1"/>
  <c r="O27" i="4"/>
  <c r="N27" i="4"/>
  <c r="I27" i="4"/>
  <c r="J27" i="4" s="1"/>
  <c r="D27" i="4"/>
  <c r="E27" i="4" s="1"/>
  <c r="O26" i="4"/>
  <c r="N26" i="4"/>
  <c r="I26" i="4"/>
  <c r="J26" i="4" s="1"/>
  <c r="D26" i="4"/>
  <c r="E26" i="4" s="1"/>
  <c r="O25" i="4"/>
  <c r="N25" i="4"/>
  <c r="I25" i="4"/>
  <c r="J25" i="4" s="1"/>
  <c r="D25" i="4"/>
  <c r="E25" i="4" s="1"/>
  <c r="O24" i="4"/>
  <c r="N24" i="4"/>
  <c r="I24" i="4"/>
  <c r="J24" i="4" s="1"/>
  <c r="D24" i="4"/>
  <c r="E24" i="4" s="1"/>
  <c r="O23" i="4"/>
  <c r="N23" i="4"/>
  <c r="I23" i="4"/>
  <c r="J23" i="4" s="1"/>
  <c r="D23" i="4"/>
  <c r="E23" i="4" s="1"/>
  <c r="O22" i="4"/>
  <c r="N22" i="4"/>
  <c r="I22" i="4"/>
  <c r="J22" i="4" s="1"/>
  <c r="D22" i="4"/>
  <c r="E22" i="4" s="1"/>
  <c r="O21" i="4"/>
  <c r="N21" i="4"/>
  <c r="I21" i="4"/>
  <c r="J21" i="4" s="1"/>
  <c r="D21" i="4"/>
  <c r="E21" i="4" s="1"/>
  <c r="N20" i="4"/>
  <c r="O20" i="4" s="1"/>
  <c r="I20" i="4"/>
  <c r="J20" i="4" s="1"/>
  <c r="D20" i="4"/>
  <c r="E20" i="4" s="1"/>
  <c r="O19" i="4"/>
  <c r="N19" i="4"/>
  <c r="I19" i="4"/>
  <c r="J19" i="4" s="1"/>
  <c r="D19" i="4"/>
  <c r="E19" i="4" s="1"/>
  <c r="O18" i="4"/>
  <c r="N18" i="4"/>
  <c r="I18" i="4"/>
  <c r="J18" i="4" s="1"/>
  <c r="D18" i="4"/>
  <c r="E18" i="4" s="1"/>
  <c r="O17" i="4"/>
  <c r="N17" i="4"/>
  <c r="I17" i="4"/>
  <c r="J17" i="4" s="1"/>
  <c r="D17" i="4"/>
  <c r="E17" i="4" s="1"/>
  <c r="N16" i="4"/>
  <c r="O16" i="4" s="1"/>
  <c r="I16" i="4"/>
  <c r="J16" i="4" s="1"/>
  <c r="D16" i="4"/>
  <c r="E16" i="4" s="1"/>
  <c r="N15" i="4"/>
  <c r="O15" i="4" s="1"/>
  <c r="I15" i="4"/>
  <c r="J15" i="4" s="1"/>
  <c r="D15" i="4"/>
  <c r="E15" i="4" s="1"/>
  <c r="N14" i="4"/>
  <c r="O14" i="4" s="1"/>
  <c r="I14" i="4"/>
  <c r="J14" i="4" s="1"/>
  <c r="D14" i="4"/>
  <c r="E14" i="4" s="1"/>
  <c r="N13" i="4"/>
  <c r="O13" i="4" s="1"/>
  <c r="I13" i="4"/>
  <c r="J13" i="4" s="1"/>
  <c r="D13" i="4"/>
  <c r="E13" i="4" s="1"/>
  <c r="N12" i="4"/>
  <c r="O12" i="4" s="1"/>
  <c r="I12" i="4"/>
  <c r="J12" i="4" s="1"/>
  <c r="D12" i="4"/>
  <c r="E12" i="4" s="1"/>
  <c r="N11" i="4"/>
  <c r="O11" i="4" s="1"/>
  <c r="I11" i="4"/>
  <c r="J11" i="4" s="1"/>
  <c r="D11" i="4"/>
  <c r="E11" i="4" s="1"/>
  <c r="N10" i="4"/>
  <c r="O10" i="4" s="1"/>
  <c r="I10" i="4"/>
  <c r="J10" i="4" s="1"/>
  <c r="D10" i="4"/>
  <c r="E10" i="4" s="1"/>
  <c r="N9" i="4"/>
  <c r="O9" i="4" s="1"/>
  <c r="I9" i="4"/>
  <c r="J9" i="4" s="1"/>
  <c r="D9" i="4"/>
  <c r="E9" i="4" s="1"/>
  <c r="N8" i="4"/>
  <c r="O8" i="4" s="1"/>
  <c r="I8" i="4"/>
  <c r="J8" i="4" s="1"/>
  <c r="D8" i="4"/>
  <c r="E8" i="4" s="1"/>
  <c r="N7" i="4"/>
  <c r="O7" i="4" s="1"/>
  <c r="I7" i="4"/>
  <c r="J7" i="4" s="1"/>
  <c r="D7" i="4"/>
  <c r="E7" i="4" s="1"/>
  <c r="N6" i="4"/>
  <c r="O6" i="4" s="1"/>
  <c r="I6" i="4"/>
  <c r="J6" i="4" s="1"/>
  <c r="D6" i="4"/>
  <c r="E6" i="4" s="1"/>
  <c r="N5" i="4"/>
  <c r="O5" i="4" s="1"/>
  <c r="I5" i="4"/>
  <c r="J5" i="4" s="1"/>
  <c r="D5" i="4"/>
  <c r="E5" i="4" s="1"/>
  <c r="N4" i="4"/>
  <c r="O4" i="4" s="1"/>
  <c r="I4" i="4"/>
  <c r="J4" i="4" s="1"/>
  <c r="D4" i="4"/>
  <c r="E4" i="4" s="1"/>
  <c r="N3" i="4"/>
  <c r="O3" i="4" s="1"/>
  <c r="I3" i="4"/>
  <c r="J3" i="4" s="1"/>
  <c r="D3" i="4"/>
  <c r="E3" i="4" s="1"/>
  <c r="AS13" i="6" l="1"/>
  <c r="AS7" i="6"/>
  <c r="AT19" i="6"/>
  <c r="AT11" i="6"/>
  <c r="AS20" i="6"/>
  <c r="AT26" i="6"/>
  <c r="AS8" i="6"/>
  <c r="AT15" i="6"/>
  <c r="AT10" i="6"/>
  <c r="AT27" i="6"/>
  <c r="AT21" i="6"/>
  <c r="AS30" i="6"/>
  <c r="AS14" i="6"/>
  <c r="AT8" i="6"/>
  <c r="AT29" i="6"/>
  <c r="AS17" i="6"/>
  <c r="AT31" i="6"/>
  <c r="AS19" i="6"/>
  <c r="AS3" i="6"/>
  <c r="AS9" i="6"/>
  <c r="AS21" i="6"/>
  <c r="AT5" i="6"/>
  <c r="AS6" i="6"/>
  <c r="AT23" i="6"/>
  <c r="AS28" i="6"/>
  <c r="AT24" i="6"/>
  <c r="AT4" i="6"/>
  <c r="AT22" i="6"/>
  <c r="AT20" i="6"/>
  <c r="AT12" i="6"/>
  <c r="AT2" i="6"/>
  <c r="AO18" i="6"/>
  <c r="AS18" i="6" s="1"/>
  <c r="M25" i="6"/>
  <c r="AT25" i="6" s="1"/>
  <c r="F16" i="2"/>
  <c r="F17" i="2"/>
  <c r="F18" i="2"/>
  <c r="F19" i="2"/>
  <c r="F20" i="2"/>
  <c r="F21" i="2"/>
  <c r="F22" i="2"/>
  <c r="F23" i="2"/>
  <c r="F24" i="2"/>
  <c r="F25" i="2"/>
  <c r="F15" i="2"/>
  <c r="E16" i="2"/>
  <c r="E17" i="2"/>
  <c r="E18" i="2"/>
  <c r="E19" i="2"/>
  <c r="E20" i="2"/>
  <c r="E21" i="2"/>
  <c r="E22" i="2"/>
  <c r="E23" i="2"/>
  <c r="E24" i="2"/>
  <c r="E25" i="2"/>
  <c r="E15" i="2"/>
  <c r="N12" i="2"/>
  <c r="O12" i="2" s="1"/>
  <c r="I12" i="2"/>
  <c r="J12" i="2" s="1"/>
  <c r="N11" i="2"/>
  <c r="O11" i="2" s="1"/>
  <c r="I11" i="2"/>
  <c r="J11" i="2" s="1"/>
  <c r="N10" i="2"/>
  <c r="O10" i="2" s="1"/>
  <c r="I10" i="2"/>
  <c r="J10" i="2" s="1"/>
  <c r="N9" i="2"/>
  <c r="O9" i="2" s="1"/>
  <c r="I9" i="2"/>
  <c r="J9" i="2" s="1"/>
  <c r="N8" i="2"/>
  <c r="O8" i="2" s="1"/>
  <c r="I8" i="2"/>
  <c r="J8" i="2" s="1"/>
  <c r="N7" i="2"/>
  <c r="O7" i="2" s="1"/>
  <c r="I7" i="2"/>
  <c r="J7" i="2" s="1"/>
  <c r="N6" i="2"/>
  <c r="O6" i="2" s="1"/>
  <c r="I6" i="2"/>
  <c r="J6" i="2" s="1"/>
  <c r="N5" i="2"/>
  <c r="O5" i="2" s="1"/>
  <c r="I5" i="2"/>
  <c r="J5" i="2" s="1"/>
  <c r="N4" i="2"/>
  <c r="O4" i="2" s="1"/>
  <c r="I4" i="2"/>
  <c r="J4" i="2" s="1"/>
  <c r="N3" i="2"/>
  <c r="O3" i="2" s="1"/>
  <c r="I3" i="2"/>
  <c r="J3" i="2" s="1"/>
  <c r="N2" i="2"/>
  <c r="O2" i="2" s="1"/>
  <c r="I2" i="2"/>
  <c r="J2" i="2" s="1"/>
  <c r="E7" i="2"/>
  <c r="D5" i="2"/>
  <c r="D4" i="2"/>
  <c r="E4" i="2"/>
  <c r="E3" i="2"/>
  <c r="D12" i="2"/>
  <c r="E12" i="2" s="1"/>
  <c r="D11" i="2"/>
  <c r="E11" i="2" s="1"/>
  <c r="D10" i="2"/>
  <c r="E10" i="2" s="1"/>
  <c r="D9" i="2"/>
  <c r="E9" i="2" s="1"/>
  <c r="D8" i="2"/>
  <c r="E8" i="2" s="1"/>
  <c r="D7" i="2"/>
  <c r="D6" i="2"/>
  <c r="E6" i="2" s="1"/>
  <c r="E5" i="2"/>
  <c r="D3" i="2"/>
  <c r="D2" i="2"/>
  <c r="E2" i="2" s="1"/>
  <c r="D46" i="1"/>
  <c r="D47" i="1"/>
  <c r="D45" i="1"/>
  <c r="D5" i="1"/>
  <c r="E5" i="1"/>
  <c r="F5" i="1"/>
  <c r="G5" i="1"/>
  <c r="H5" i="1"/>
  <c r="I5" i="1"/>
  <c r="J5" i="1"/>
  <c r="C5" i="1"/>
  <c r="AS25" i="6" l="1"/>
  <c r="AT18" i="6"/>
  <c r="W9" i="1"/>
  <c r="Y9" i="1"/>
  <c r="Z9" i="1"/>
  <c r="X9" i="1"/>
  <c r="W8" i="1"/>
  <c r="W7" i="1"/>
  <c r="V8" i="1"/>
  <c r="V7" i="1"/>
  <c r="U8" i="1"/>
  <c r="U7" i="1"/>
  <c r="U6" i="1"/>
  <c r="T8" i="1"/>
  <c r="T7" i="1"/>
  <c r="T6" i="1"/>
  <c r="S8" i="1"/>
  <c r="S7" i="1"/>
  <c r="R8" i="1"/>
  <c r="R7" i="1"/>
  <c r="R9" i="1" s="1"/>
  <c r="Q8" i="1"/>
  <c r="Q7" i="1"/>
  <c r="Q9" i="1" s="1"/>
  <c r="P7" i="1"/>
  <c r="P8" i="1"/>
  <c r="W6" i="1"/>
  <c r="V6" i="1"/>
  <c r="S6" i="1"/>
  <c r="R6" i="1"/>
  <c r="Q6" i="1"/>
  <c r="P6" i="1"/>
  <c r="P5" i="1"/>
  <c r="Q5" i="1"/>
  <c r="R5" i="1"/>
  <c r="S5" i="1"/>
  <c r="T5" i="1"/>
  <c r="U5" i="1"/>
  <c r="V5" i="1"/>
  <c r="W5" i="1"/>
  <c r="X5" i="1"/>
  <c r="Y5" i="1"/>
  <c r="Z5" i="1"/>
  <c r="O5" i="1"/>
  <c r="M54" i="1"/>
  <c r="L53" i="1"/>
  <c r="E52" i="1"/>
  <c r="D52" i="1"/>
  <c r="I51" i="1"/>
  <c r="L48" i="1"/>
  <c r="H48" i="1"/>
  <c r="F48" i="1"/>
  <c r="L47" i="1"/>
  <c r="K47" i="1"/>
  <c r="J47" i="1"/>
  <c r="J53" i="1" s="1"/>
  <c r="I47" i="1"/>
  <c r="H47" i="1"/>
  <c r="G47" i="1"/>
  <c r="G53" i="1" s="1"/>
  <c r="F47" i="1"/>
  <c r="F53" i="1" s="1"/>
  <c r="E47" i="1"/>
  <c r="D53" i="1"/>
  <c r="C47" i="1"/>
  <c r="L46" i="1"/>
  <c r="K46" i="1"/>
  <c r="K52" i="1" s="1"/>
  <c r="J46" i="1"/>
  <c r="J52" i="1" s="1"/>
  <c r="I46" i="1"/>
  <c r="I52" i="1" s="1"/>
  <c r="H46" i="1"/>
  <c r="H52" i="1" s="1"/>
  <c r="G46" i="1"/>
  <c r="G52" i="1" s="1"/>
  <c r="F46" i="1"/>
  <c r="E46" i="1"/>
  <c r="C46" i="1"/>
  <c r="C52" i="1" s="1"/>
  <c r="L45" i="1"/>
  <c r="L51" i="1" s="1"/>
  <c r="K45" i="1"/>
  <c r="J45" i="1"/>
  <c r="I45" i="1"/>
  <c r="I48" i="1" s="1"/>
  <c r="H45" i="1"/>
  <c r="G45" i="1"/>
  <c r="G51" i="1" s="1"/>
  <c r="F45" i="1"/>
  <c r="F51" i="1" s="1"/>
  <c r="E45" i="1"/>
  <c r="C45" i="1"/>
  <c r="C48" i="1" s="1"/>
  <c r="M44" i="1"/>
  <c r="L44" i="1"/>
  <c r="K44" i="1"/>
  <c r="J44" i="1"/>
  <c r="I44" i="1"/>
  <c r="H44" i="1"/>
  <c r="G44" i="1"/>
  <c r="F44" i="1"/>
  <c r="E44" i="1"/>
  <c r="D44" i="1"/>
  <c r="C44" i="1"/>
  <c r="B44" i="1"/>
  <c r="V34" i="1"/>
  <c r="Q34" i="1"/>
  <c r="T33" i="1"/>
  <c r="W32" i="1"/>
  <c r="P29" i="1"/>
  <c r="Q32" i="1" s="1"/>
  <c r="H29" i="1"/>
  <c r="Y28" i="1"/>
  <c r="X28" i="1"/>
  <c r="W28" i="1"/>
  <c r="V28" i="1"/>
  <c r="U34" i="1" s="1"/>
  <c r="U28" i="1"/>
  <c r="T28" i="1"/>
  <c r="S28" i="1"/>
  <c r="R28" i="1"/>
  <c r="Q28" i="1"/>
  <c r="P28" i="1"/>
  <c r="O34" i="1" s="1"/>
  <c r="L28" i="1"/>
  <c r="K28" i="1"/>
  <c r="J28" i="1"/>
  <c r="I28" i="1"/>
  <c r="H28" i="1"/>
  <c r="G28" i="1"/>
  <c r="F28" i="1"/>
  <c r="E28" i="1"/>
  <c r="D28" i="1"/>
  <c r="C28" i="1"/>
  <c r="Y27" i="1"/>
  <c r="X27" i="1"/>
  <c r="W27" i="1"/>
  <c r="V27" i="1"/>
  <c r="U27" i="1"/>
  <c r="T27" i="1"/>
  <c r="S27" i="1"/>
  <c r="R27" i="1"/>
  <c r="Q27" i="1"/>
  <c r="P27" i="1"/>
  <c r="L27" i="1"/>
  <c r="K27" i="1"/>
  <c r="J27" i="1"/>
  <c r="I27" i="1"/>
  <c r="H27" i="1"/>
  <c r="G27" i="1"/>
  <c r="F27" i="1"/>
  <c r="E27" i="1"/>
  <c r="D27" i="1"/>
  <c r="C27" i="1"/>
  <c r="Z29" i="1"/>
  <c r="Y26" i="1"/>
  <c r="Y29" i="1" s="1"/>
  <c r="X26" i="1"/>
  <c r="X29" i="1" s="1"/>
  <c r="W26" i="1"/>
  <c r="V26" i="1"/>
  <c r="U26" i="1"/>
  <c r="T26" i="1"/>
  <c r="T29" i="1" s="1"/>
  <c r="S26" i="1"/>
  <c r="S29" i="1" s="1"/>
  <c r="R26" i="1"/>
  <c r="R29" i="1" s="1"/>
  <c r="Q26" i="1"/>
  <c r="P26" i="1"/>
  <c r="L26" i="1"/>
  <c r="K26" i="1"/>
  <c r="J26" i="1"/>
  <c r="J29" i="1" s="1"/>
  <c r="I26" i="1"/>
  <c r="H26" i="1"/>
  <c r="G26" i="1"/>
  <c r="F26" i="1"/>
  <c r="F29" i="1" s="1"/>
  <c r="E26" i="1"/>
  <c r="E29" i="1" s="1"/>
  <c r="D26" i="1"/>
  <c r="D29" i="1" s="1"/>
  <c r="C26" i="1"/>
  <c r="Z25" i="1"/>
  <c r="Y25" i="1"/>
  <c r="X25" i="1"/>
  <c r="W25" i="1"/>
  <c r="V25" i="1"/>
  <c r="U25" i="1"/>
  <c r="T25" i="1"/>
  <c r="S25" i="1"/>
  <c r="R25" i="1"/>
  <c r="Q25" i="1"/>
  <c r="P25" i="1"/>
  <c r="O25" i="1"/>
  <c r="M25" i="1"/>
  <c r="L25" i="1"/>
  <c r="K25" i="1"/>
  <c r="J25" i="1"/>
  <c r="I25" i="1"/>
  <c r="H25" i="1"/>
  <c r="G25" i="1"/>
  <c r="F25" i="1"/>
  <c r="E25" i="1"/>
  <c r="D25" i="1"/>
  <c r="C25" i="1"/>
  <c r="B25" i="1"/>
  <c r="D9" i="1"/>
  <c r="J8" i="1"/>
  <c r="I8" i="1"/>
  <c r="I9" i="1" s="1"/>
  <c r="H8" i="1"/>
  <c r="G8" i="1"/>
  <c r="F8" i="1"/>
  <c r="E8" i="1"/>
  <c r="D8" i="1"/>
  <c r="C8" i="1"/>
  <c r="J7" i="1"/>
  <c r="I7" i="1"/>
  <c r="H7" i="1"/>
  <c r="G7" i="1"/>
  <c r="F7" i="1"/>
  <c r="E7" i="1"/>
  <c r="D7" i="1"/>
  <c r="C7" i="1"/>
  <c r="K9" i="1"/>
  <c r="J6" i="1"/>
  <c r="I6" i="1"/>
  <c r="H6" i="1"/>
  <c r="G6" i="1"/>
  <c r="F6" i="1"/>
  <c r="E6" i="1"/>
  <c r="D6" i="1"/>
  <c r="C6" i="1"/>
  <c r="M5" i="1"/>
  <c r="L5" i="1"/>
  <c r="K5" i="1"/>
  <c r="B5" i="1"/>
  <c r="G48" i="1" l="1"/>
  <c r="J9" i="1"/>
  <c r="L29" i="1"/>
  <c r="K29" i="1"/>
  <c r="M29" i="1"/>
  <c r="V9" i="1"/>
  <c r="U9" i="1"/>
  <c r="T9" i="1"/>
  <c r="S9" i="1"/>
  <c r="P9" i="1"/>
  <c r="L54" i="1"/>
  <c r="L9" i="1"/>
  <c r="G54" i="1"/>
  <c r="M9" i="1"/>
  <c r="F32" i="1"/>
  <c r="T32" i="1"/>
  <c r="V33" i="1"/>
  <c r="J34" i="1"/>
  <c r="X34" i="1"/>
  <c r="P32" i="1"/>
  <c r="P35" i="1" s="1"/>
  <c r="E53" i="1"/>
  <c r="E14" i="1"/>
  <c r="G32" i="1"/>
  <c r="O32" i="1"/>
  <c r="O35" i="1" s="1"/>
  <c r="U32" i="1"/>
  <c r="U35" i="1" s="1"/>
  <c r="Q33" i="1"/>
  <c r="Q35" i="1" s="1"/>
  <c r="W33" i="1"/>
  <c r="E34" i="1"/>
  <c r="K34" i="1"/>
  <c r="S34" i="1"/>
  <c r="V29" i="1"/>
  <c r="D51" i="1"/>
  <c r="D54" i="1" s="1"/>
  <c r="D48" i="1"/>
  <c r="J48" i="1"/>
  <c r="J51" i="1"/>
  <c r="J54" i="1" s="1"/>
  <c r="C51" i="1"/>
  <c r="G34" i="1"/>
  <c r="W35" i="1"/>
  <c r="F54" i="1"/>
  <c r="E12" i="1"/>
  <c r="F9" i="1"/>
  <c r="E9" i="1"/>
  <c r="G9" i="1"/>
  <c r="G13" i="1"/>
  <c r="O33" i="1"/>
  <c r="X32" i="1"/>
  <c r="X35" i="1" s="1"/>
  <c r="S32" i="1"/>
  <c r="S35" i="1" s="1"/>
  <c r="U33" i="1"/>
  <c r="R32" i="1"/>
  <c r="W34" i="1"/>
  <c r="H9" i="1"/>
  <c r="H33" i="1"/>
  <c r="P33" i="1"/>
  <c r="D34" i="1"/>
  <c r="R34" i="1"/>
  <c r="U29" i="1"/>
  <c r="C53" i="1"/>
  <c r="H53" i="1"/>
  <c r="I53" i="1"/>
  <c r="I54" i="1" s="1"/>
  <c r="K53" i="1"/>
  <c r="C9" i="1"/>
  <c r="E13" i="1" s="1"/>
  <c r="C29" i="1"/>
  <c r="I29" i="1"/>
  <c r="Q29" i="1"/>
  <c r="W29" i="1"/>
  <c r="D33" i="1"/>
  <c r="R33" i="1"/>
  <c r="X33" i="1"/>
  <c r="F34" i="1"/>
  <c r="L34" i="1"/>
  <c r="T34" i="1"/>
  <c r="G29" i="1"/>
  <c r="V32" i="1"/>
  <c r="S33" i="1"/>
  <c r="P34" i="1"/>
  <c r="E48" i="1"/>
  <c r="K48" i="1"/>
  <c r="F52" i="1"/>
  <c r="L52" i="1"/>
  <c r="H51" i="1"/>
  <c r="E51" i="1"/>
  <c r="E54" i="1" s="1"/>
  <c r="K51" i="1"/>
  <c r="R13" i="1" l="1"/>
  <c r="T14" i="1"/>
  <c r="S12" i="1"/>
  <c r="O12" i="1"/>
  <c r="R14" i="1"/>
  <c r="V13" i="1"/>
  <c r="Q13" i="1"/>
  <c r="O14" i="1"/>
  <c r="T12" i="1"/>
  <c r="S13" i="1"/>
  <c r="V14" i="1"/>
  <c r="Q14" i="1"/>
  <c r="U12" i="1"/>
  <c r="S14" i="1"/>
  <c r="U13" i="1"/>
  <c r="P12" i="1"/>
  <c r="V12" i="1"/>
  <c r="U14" i="1"/>
  <c r="P13" i="1"/>
  <c r="Q12" i="1"/>
  <c r="T13" i="1"/>
  <c r="P14" i="1"/>
  <c r="R12" i="1"/>
  <c r="O13" i="1"/>
  <c r="F13" i="1"/>
  <c r="H14" i="1"/>
  <c r="I13" i="1"/>
  <c r="V35" i="1"/>
  <c r="K32" i="1"/>
  <c r="J32" i="1"/>
  <c r="E32" i="1"/>
  <c r="E35" i="1" s="1"/>
  <c r="G33" i="1"/>
  <c r="D32" i="1"/>
  <c r="D35" i="1" s="1"/>
  <c r="B32" i="1"/>
  <c r="K33" i="1"/>
  <c r="C34" i="1"/>
  <c r="F33" i="1"/>
  <c r="F35" i="1" s="1"/>
  <c r="H32" i="1"/>
  <c r="C32" i="1"/>
  <c r="I34" i="1"/>
  <c r="L35" i="1"/>
  <c r="H34" i="1"/>
  <c r="I32" i="1"/>
  <c r="I35" i="1" s="1"/>
  <c r="B34" i="1"/>
  <c r="E33" i="1"/>
  <c r="I12" i="1"/>
  <c r="R35" i="1"/>
  <c r="C14" i="1"/>
  <c r="I33" i="1"/>
  <c r="C13" i="1"/>
  <c r="B33" i="1"/>
  <c r="E15" i="1"/>
  <c r="K54" i="1"/>
  <c r="H12" i="1"/>
  <c r="F14" i="1"/>
  <c r="D13" i="1"/>
  <c r="G12" i="1"/>
  <c r="F12" i="1"/>
  <c r="B12" i="1"/>
  <c r="H13" i="1"/>
  <c r="G35" i="1"/>
  <c r="H54" i="1"/>
  <c r="B13" i="1"/>
  <c r="G14" i="1"/>
  <c r="J33" i="1"/>
  <c r="C12" i="1"/>
  <c r="D14" i="1"/>
  <c r="C54" i="1"/>
  <c r="C33" i="1"/>
  <c r="T35" i="1"/>
  <c r="I14" i="1"/>
  <c r="B14" i="1"/>
  <c r="D12" i="1"/>
  <c r="D15" i="1" s="1"/>
  <c r="O15" i="1" l="1"/>
  <c r="V15" i="1"/>
  <c r="R15" i="1"/>
  <c r="U15" i="1"/>
  <c r="T15" i="1"/>
  <c r="S15" i="1"/>
  <c r="P15" i="1"/>
  <c r="Q15" i="1"/>
  <c r="J60" i="1"/>
  <c r="J35" i="1"/>
  <c r="F15" i="1"/>
  <c r="I15" i="1"/>
  <c r="G15" i="1"/>
  <c r="C35" i="1"/>
  <c r="H15" i="1"/>
  <c r="C15" i="1"/>
  <c r="B15" i="1"/>
  <c r="K60" i="1"/>
  <c r="K35" i="1"/>
  <c r="B35" i="1"/>
  <c r="H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<sst xmlns="http://schemas.openxmlformats.org/spreadsheetml/2006/main" count="1457" uniqueCount="339">
  <si>
    <t>0,078mM</t>
  </si>
  <si>
    <t>0,156mM</t>
  </si>
  <si>
    <t>0,312mM</t>
  </si>
  <si>
    <t>0,625mM</t>
  </si>
  <si>
    <t>1,25mM</t>
  </si>
  <si>
    <t>2,5mM</t>
  </si>
  <si>
    <t>5mM</t>
  </si>
  <si>
    <t>10mM</t>
  </si>
  <si>
    <t>20mM</t>
  </si>
  <si>
    <t>40mM</t>
  </si>
  <si>
    <t>1,25mM/0,312mg/ml</t>
  </si>
  <si>
    <t>5mM/1,25mg/ml</t>
  </si>
  <si>
    <t>10mM/2,5mg/ml</t>
  </si>
  <si>
    <t>20mM/5 mg/ml</t>
  </si>
  <si>
    <t>40mM/10mg/ml</t>
  </si>
  <si>
    <t>Cu</t>
  </si>
  <si>
    <t>Cu+met</t>
  </si>
  <si>
    <t>Średnia</t>
  </si>
  <si>
    <t>Zn</t>
  </si>
  <si>
    <t>Zn+met</t>
  </si>
  <si>
    <t>0,312mg/ml</t>
  </si>
  <si>
    <t>1,25mg/ml</t>
  </si>
  <si>
    <t>2,5mg/ml</t>
  </si>
  <si>
    <t>10mg/ml</t>
  </si>
  <si>
    <t>MET</t>
  </si>
  <si>
    <t>1. Kontrola T2</t>
  </si>
  <si>
    <t>8. T2 + Cu 2,5mM</t>
  </si>
  <si>
    <t>Średnia (g/L)</t>
  </si>
  <si>
    <t>20. T2+Zn 10 mM</t>
  </si>
  <si>
    <t>4. T2+Zn 5 mM</t>
  </si>
  <si>
    <t>5. T2+Zn 10 mM</t>
  </si>
  <si>
    <t>Od. st.</t>
  </si>
  <si>
    <t>A0 (1)</t>
  </si>
  <si>
    <t>A0 (2)</t>
  </si>
  <si>
    <t>A1k</t>
  </si>
  <si>
    <t>A2k</t>
  </si>
  <si>
    <t>U1</t>
  </si>
  <si>
    <t>U2</t>
  </si>
  <si>
    <t>Przeliczenie na białko (U/mg białka)</t>
  </si>
  <si>
    <t>0 sek</t>
  </si>
  <si>
    <t>5 sek</t>
  </si>
  <si>
    <t>10 sek</t>
  </si>
  <si>
    <t>15 sek</t>
  </si>
  <si>
    <t>20 sek</t>
  </si>
  <si>
    <t>25sek</t>
  </si>
  <si>
    <t>25 sek</t>
  </si>
  <si>
    <t xml:space="preserve">A0 </t>
  </si>
  <si>
    <t>A 532</t>
  </si>
  <si>
    <t>A 600</t>
  </si>
  <si>
    <t>A1 wynik</t>
  </si>
  <si>
    <t>A2 wynik</t>
  </si>
  <si>
    <t>Obliczenie</t>
  </si>
  <si>
    <t>Masa (mg)</t>
  </si>
  <si>
    <t>OXA</t>
  </si>
  <si>
    <t>M2H</t>
  </si>
  <si>
    <t>MDES</t>
  </si>
  <si>
    <t>LPC</t>
  </si>
  <si>
    <t>LPE</t>
  </si>
  <si>
    <t>PC</t>
  </si>
  <si>
    <t>PE</t>
  </si>
  <si>
    <t>PI</t>
  </si>
  <si>
    <t>Area 1</t>
  </si>
  <si>
    <t>Area 2</t>
  </si>
  <si>
    <t>Area 3</t>
  </si>
  <si>
    <t>0,078mM/0,0195mg/ml</t>
  </si>
  <si>
    <t>0,156mM/0,039mg/ml</t>
  </si>
  <si>
    <t>0,312mM/0,078mg/ml</t>
  </si>
  <si>
    <t>0,625mM/0,156mg/ml</t>
  </si>
  <si>
    <t>2,5mM/0,625mg/ml</t>
  </si>
  <si>
    <t>20mM/5mg/ml</t>
  </si>
  <si>
    <t>0,0195mg/ml</t>
  </si>
  <si>
    <t>0,039mg/ml</t>
  </si>
  <si>
    <t>0,078mg/ml</t>
  </si>
  <si>
    <t>0,156mg/ml</t>
  </si>
  <si>
    <t>0,625mg/ml</t>
  </si>
  <si>
    <t>5mg/ml</t>
  </si>
  <si>
    <t>SD (Zn)</t>
  </si>
  <si>
    <t>SD (Cu)</t>
  </si>
  <si>
    <t>0mM</t>
  </si>
  <si>
    <t>Zn+MET</t>
  </si>
  <si>
    <t>Cu+MET</t>
  </si>
  <si>
    <t>SD (MET)</t>
  </si>
  <si>
    <t>0mM/0mg/ml</t>
  </si>
  <si>
    <t>3. T2+Zn 2,5mM</t>
  </si>
  <si>
    <t>2. T2 + Zn 1mM</t>
  </si>
  <si>
    <t>4. T2+Zn 5mM</t>
  </si>
  <si>
    <t>5. T2+Zn 7,5mM</t>
  </si>
  <si>
    <t>6. T2+Zn 10mM</t>
  </si>
  <si>
    <t>7. T2 + Cu 1mM</t>
  </si>
  <si>
    <t>9. T2 + Cu 5mM</t>
  </si>
  <si>
    <t>10. T2 + Cu 7,5mM</t>
  </si>
  <si>
    <t>11. T2 + Cu 10mM</t>
  </si>
  <si>
    <t>1 powtórzenie</t>
  </si>
  <si>
    <t>2 powtórzenie</t>
  </si>
  <si>
    <t>3 powtórzenie</t>
  </si>
  <si>
    <t>SD</t>
  </si>
  <si>
    <t>2. T2+MP 2,5 g/L+MET</t>
  </si>
  <si>
    <t>3. T2+MP 5 g/L+MET</t>
  </si>
  <si>
    <t>4. T2+Zn 5 mM+MET</t>
  </si>
  <si>
    <t>5. T2+Zn 10 mM+MET</t>
  </si>
  <si>
    <t>6. T2 + Cu 2,5 mM+MET</t>
  </si>
  <si>
    <t>7. T2 + Cu 5 mM +MET</t>
  </si>
  <si>
    <t>8. T2 + Zn 5mM+MP 2,5 g/L+MET</t>
  </si>
  <si>
    <t>9. T2 + Zn 5mM + MP 5 g/L+MET</t>
  </si>
  <si>
    <t>10. T2 + Zn 10 mM+MP 2,5 g/L+MET</t>
  </si>
  <si>
    <t>11. T2 + Zn 10mM + MP 5 g/L+MET</t>
  </si>
  <si>
    <t>12. T2 + Cu 2,5mM+MP 2,5 g/L+MET</t>
  </si>
  <si>
    <t>13. T2 + Cu 2,5mM + MP 5g/L+MET</t>
  </si>
  <si>
    <t>14. T2 + Cu 5mM+MP 2,5 g/L+MET</t>
  </si>
  <si>
    <t>15. T2 + Cu 5mM + MP 5 g/L+MET</t>
  </si>
  <si>
    <t>16. Podłoże+MET</t>
  </si>
  <si>
    <t>17. MP 2,5 g/L+MET</t>
  </si>
  <si>
    <t>18. MP 5 g/L+MET</t>
  </si>
  <si>
    <t>19. Zn 5 mM +MET</t>
  </si>
  <si>
    <t>20. Zn 10 mM+MET</t>
  </si>
  <si>
    <t>21. Cu 2,5mM+MET</t>
  </si>
  <si>
    <t>22. Cu 5 mM+MET</t>
  </si>
  <si>
    <t>23. Zn 5mM+MP 2,5 g/L+MET</t>
  </si>
  <si>
    <t>24. Zn 5mM + MP 5 g/L+MET</t>
  </si>
  <si>
    <t>25. Zn 10 mM+MP 2,5 g/L+MET</t>
  </si>
  <si>
    <t>26. Zn 10mM + MP 5 g/L+MET</t>
  </si>
  <si>
    <t>27. Cu 2,5mM+MP 2,5 g/L+MET</t>
  </si>
  <si>
    <t>28. Cu 2,5mM + MP 5 g/L+MET</t>
  </si>
  <si>
    <t>29. Cu 5mM+MP 2,5 g/L+MET</t>
  </si>
  <si>
    <t>30. Cu 5mM + MP 5 g/L+MET</t>
  </si>
  <si>
    <t>5. T2 + Zn 5mM+MP 2,5 g/L+MET</t>
  </si>
  <si>
    <t>6. T2 + Zn 5mM + MP 5 g/L+MET</t>
  </si>
  <si>
    <t>7. T2+Zn 10 mM+MET</t>
  </si>
  <si>
    <t>8. T2 + Zn 10 mM+MP 2,5 g/L+MET</t>
  </si>
  <si>
    <t>9. T2 + Zn 10mM + MP 5 g/L+MET</t>
  </si>
  <si>
    <t>10. T2 + Cu 2,5 mM+MET</t>
  </si>
  <si>
    <t>11. T2 + Cu 2,5mM+MP 2,5 g/L+MET</t>
  </si>
  <si>
    <t>12. T2 + Cu 2,5mM + MP 5g/L+MET</t>
  </si>
  <si>
    <t>13. T2 + Cu 5 mM +MET</t>
  </si>
  <si>
    <t>17. T2+MP 2,5 g/L</t>
  </si>
  <si>
    <t>18. T2+MP 5 g/L</t>
  </si>
  <si>
    <t>19. T2+Zn 5 mM</t>
  </si>
  <si>
    <t>21. T2 + Cu 2,5 mM</t>
  </si>
  <si>
    <t xml:space="preserve">22. T2 + Cu 5 mM </t>
  </si>
  <si>
    <t>23. T2 + Zn 5mM+MP 2,5 g/L</t>
  </si>
  <si>
    <t>24. T2 + Zn 5mM + MP 5 g/L</t>
  </si>
  <si>
    <t>25. T2 + Zn 10 mM+MP 2,5 g/L</t>
  </si>
  <si>
    <t>26. T2 + Zn 10mM + MP 5 g/L</t>
  </si>
  <si>
    <t>27. T2 + Cu 2,5mM+MP 2,5 g/L</t>
  </si>
  <si>
    <t>28. T2 + Cu 2,5mM + MP 5g/L</t>
  </si>
  <si>
    <t>29. T2 + Cu 5mM+MP 2,5 g/L</t>
  </si>
  <si>
    <t>30. T2 + Cu 5mM + MP 5 g/L</t>
  </si>
  <si>
    <t>2. T2+MP 2,5 g/L</t>
  </si>
  <si>
    <t>3. T2+MP 5 g/L</t>
  </si>
  <si>
    <t>6. T2 + Cu 2,5 mM</t>
  </si>
  <si>
    <t xml:space="preserve">7. T2 + Cu 5 mM </t>
  </si>
  <si>
    <t>8. T2 + Zn 5mM+MP 2,5 g/L</t>
  </si>
  <si>
    <t>9. T2 + Zn 5mM + MP 5 g/L</t>
  </si>
  <si>
    <t>10. T2 + Zn 10 mM+MP 2,5 g/L</t>
  </si>
  <si>
    <t>11. T2 + Zn 10mM + MP 5 g/L</t>
  </si>
  <si>
    <t>12. T2 + Cu 2,5mM+MP 2,5 g/L</t>
  </si>
  <si>
    <t>13. T2 + Cu 2,5mM + MP 5g/L</t>
  </si>
  <si>
    <t>14. T2 + Cu 5mM+MP 2,5 g/L</t>
  </si>
  <si>
    <t>15. T2 + Cu 5mM + MP 5 g/L</t>
  </si>
  <si>
    <t>16. Kontrola T2+MET</t>
  </si>
  <si>
    <t>17. T2+MP 2,5 g/L+MET</t>
  </si>
  <si>
    <t>18. T2+MP 5 g/L+MET</t>
  </si>
  <si>
    <t>19. T2+Zn 5 mM+MET</t>
  </si>
  <si>
    <t>20. T2+Zn 10 mM+MET</t>
  </si>
  <si>
    <t>21. T2 + Cu 2,5 mM+MET</t>
  </si>
  <si>
    <t>22. T2 + Cu 5 mM +MET</t>
  </si>
  <si>
    <t>23. T2 + Zn 5mM+MP 2,5 g/L+MET</t>
  </si>
  <si>
    <t>24. T2 + Zn 5mM + MP 5 g/L+MET</t>
  </si>
  <si>
    <t>25. T2 + Zn 10 mM+MP 2,5 g/L+MET</t>
  </si>
  <si>
    <t>26. T2 + Zn 10mM + MP 5 g/L+MET</t>
  </si>
  <si>
    <t>27. T2 + Cu 2,5mM+MP 2,5 g/L+MET</t>
  </si>
  <si>
    <t>28. T2 + Cu 2,5mM + MP 5g/L+MET</t>
  </si>
  <si>
    <t>29. T2 + Cu 5mM+MP 2,5 g/L+MET</t>
  </si>
  <si>
    <t>30. T2 + Cu 5mM + MP 5 g/L+MET</t>
  </si>
  <si>
    <t xml:space="preserve">Ergosterol ug/g </t>
  </si>
  <si>
    <t>U średnia</t>
  </si>
  <si>
    <t xml:space="preserve">nmol/g </t>
  </si>
  <si>
    <t>Total area 1</t>
  </si>
  <si>
    <t>MP2.5g/L(1)</t>
  </si>
  <si>
    <t>MP2.5g/L(2)</t>
  </si>
  <si>
    <t>MP2.5g/L(3)</t>
  </si>
  <si>
    <t>MP5g/L(1)</t>
  </si>
  <si>
    <t>MP5g/L(2)</t>
  </si>
  <si>
    <t>MP5g/L(3)</t>
  </si>
  <si>
    <t>MP2.5g/L+MET(1)</t>
  </si>
  <si>
    <t>MP2.5g/L+MET(2)</t>
  </si>
  <si>
    <t>MP2.5g/L+MET(3)</t>
  </si>
  <si>
    <t>MP5g/L+MET(1)</t>
  </si>
  <si>
    <t>MP5g/L+MET(2)</t>
  </si>
  <si>
    <t>MP5g/L+MET(3)</t>
  </si>
  <si>
    <t>Zn5mM(1)</t>
  </si>
  <si>
    <t>Zn5mM(2)</t>
  </si>
  <si>
    <t>Zn5mM(3)</t>
  </si>
  <si>
    <t>Zn10mM(1)</t>
  </si>
  <si>
    <t>Zn10mM(2)</t>
  </si>
  <si>
    <t>Zn10mM(3)</t>
  </si>
  <si>
    <t>Cu2,5mM(1)</t>
  </si>
  <si>
    <t>Cu2,5mM(2)</t>
  </si>
  <si>
    <t>Cu2,5mM(3)</t>
  </si>
  <si>
    <t>Cu5mM(1)</t>
  </si>
  <si>
    <t>Cu5mM(2)</t>
  </si>
  <si>
    <t>Cu5mM(3)</t>
  </si>
  <si>
    <t>Zn5mM+MET(1)</t>
  </si>
  <si>
    <t>Zn5mM+MET(2)</t>
  </si>
  <si>
    <t>Zn5mM+MET(3)</t>
  </si>
  <si>
    <t>Zn10mM+MET(1)</t>
  </si>
  <si>
    <t>Zn10mM+MET(2)</t>
  </si>
  <si>
    <t>Zn10mM+MET(3)</t>
  </si>
  <si>
    <t>Cu2,5mM+MET(1)</t>
  </si>
  <si>
    <t>Cu2,5mM+MET(2)</t>
  </si>
  <si>
    <t>Cu2,5mM+MET(3)</t>
  </si>
  <si>
    <t>Cu5mM+MET(1)</t>
  </si>
  <si>
    <t>Cu5mM+MET(2)</t>
  </si>
  <si>
    <t>Cu5mM+MET(3)</t>
  </si>
  <si>
    <t>Zn5mM+MP2,5g/L(1)</t>
  </si>
  <si>
    <t>Zn5mM+MP2,5g/L(2)</t>
  </si>
  <si>
    <t>Zn5mM+MP2,5g/L(3)</t>
  </si>
  <si>
    <t>Zn5mM+MP5g/L(1)</t>
  </si>
  <si>
    <t>Zn5mM+MP5g/L(2)</t>
  </si>
  <si>
    <t>Zn5mM+MP5g/L(3)</t>
  </si>
  <si>
    <t>Zn10mM+MP2,5g/L(1)</t>
  </si>
  <si>
    <t>Zn10mM+MP2,5g/L(2)</t>
  </si>
  <si>
    <t>Zn10mM+MP2,5g/L(3)</t>
  </si>
  <si>
    <t>Zn10mM+MP5g/L(1)</t>
  </si>
  <si>
    <t>Zn10mM+MP5g/L(2)</t>
  </si>
  <si>
    <t>Zn10mM+MP5g/L(3)</t>
  </si>
  <si>
    <t>Cu2,5mM+MP2,5g/L(1)</t>
  </si>
  <si>
    <t>Cu2,5mM+MP2,5g/L(2)</t>
  </si>
  <si>
    <t>Cu2,5mM+MP2,5g/L(3)</t>
  </si>
  <si>
    <t>Cu2,5mM+MP5g/L(1)</t>
  </si>
  <si>
    <t>Cu2,5mM+MP5g/L(2)</t>
  </si>
  <si>
    <t>Cu2,5mM+MP5g/L(3)</t>
  </si>
  <si>
    <t>Cu5mM+MP2,5g/L(1)</t>
  </si>
  <si>
    <t>Cu5mM+MP2,5g/L(2)</t>
  </si>
  <si>
    <t>Cu5mM+MP2,5g/L(3)</t>
  </si>
  <si>
    <t>Cu5mM+MP5g/L(1)</t>
  </si>
  <si>
    <t>Cu5mM+MP5g/L(2)</t>
  </si>
  <si>
    <t>Cu5mM+MP5g/L(3)</t>
  </si>
  <si>
    <t>Zn5mM+MP2,5g/L+MET(1)</t>
  </si>
  <si>
    <t>Zn5mM+MP2,5g/L+MET(2)</t>
  </si>
  <si>
    <t>Zn5mM+MP2,5g/L+MET(3)</t>
  </si>
  <si>
    <t>Zn5mM+MP5g/L+MET(1)</t>
  </si>
  <si>
    <t>Zn5mM+MP5g/L+MET(2)</t>
  </si>
  <si>
    <t>Zn5mM+MP5g/L+MET(3)</t>
  </si>
  <si>
    <t>Zn10mM+MP2,5g/L+MET(1)</t>
  </si>
  <si>
    <t>Zn10mM+MP2,5g/L+MET(2)</t>
  </si>
  <si>
    <t>Zn10mM+MP2,5g/L+MET(3)</t>
  </si>
  <si>
    <t>Zn10mM+MP5g/L+MET(1)</t>
  </si>
  <si>
    <t>Zn10mM+MP5g/L+MET(2)</t>
  </si>
  <si>
    <t>Zn10mM+MP5g/L+MET(3)</t>
  </si>
  <si>
    <t>Cu2,5mM+MP2,5g/L+MET(1)</t>
  </si>
  <si>
    <t>Cu2,5mM+MP2,5g/L+MET(2)</t>
  </si>
  <si>
    <t>Cu2,5mM+MP2,5g/L+MET(3)</t>
  </si>
  <si>
    <t>Cu2,5mM+MP5g/L+MET(1)</t>
  </si>
  <si>
    <t>Cu2,5mM+MP5g/L+MET(2)</t>
  </si>
  <si>
    <t>Cu2,5mM+MP5g/L+MET(3)</t>
  </si>
  <si>
    <t>Cu5mM+MP2,5g/L+MET(1)</t>
  </si>
  <si>
    <t>Cu5mM+MP2,5g/L+MET(2)</t>
  </si>
  <si>
    <t>Cu5mM+MP2,5g/L+MET(3)</t>
  </si>
  <si>
    <t>Cu5mM+MP5g/L+MET(1)</t>
  </si>
  <si>
    <t>Cu5mM+MP5g/L+MET(2)</t>
  </si>
  <si>
    <t>Cu5mM+MP5g/L+MET(3)</t>
  </si>
  <si>
    <t>MP2.5g/L</t>
  </si>
  <si>
    <t>MP5g/L</t>
  </si>
  <si>
    <t>Zn5mM</t>
  </si>
  <si>
    <t>Zn10mM</t>
  </si>
  <si>
    <t>Cu2,5mM</t>
  </si>
  <si>
    <t>Zn5mM+MP2,5g/L</t>
  </si>
  <si>
    <t>Cu5mM</t>
  </si>
  <si>
    <t>Zn5mM+MP5g/L</t>
  </si>
  <si>
    <t>Zn10mM+MP2,5g/L</t>
  </si>
  <si>
    <t>Zn10mM+MP5g/L</t>
  </si>
  <si>
    <t>Cu2,5mM+MP2,5g/L</t>
  </si>
  <si>
    <t>Cu2,5mM+MP5g/L</t>
  </si>
  <si>
    <t>Cu5mM+MP2,5g/L</t>
  </si>
  <si>
    <t>Cu5mM+MP5g/L</t>
  </si>
  <si>
    <t>MP2.5g/L+MET</t>
  </si>
  <si>
    <t>MP5g/L+MET</t>
  </si>
  <si>
    <t>Zn5mM+MET</t>
  </si>
  <si>
    <t>Zn10mM+MET</t>
  </si>
  <si>
    <t>Cu2,5mM+MET</t>
  </si>
  <si>
    <t>Cu5mM+MET</t>
  </si>
  <si>
    <t>Zn5mM+MP2,5g/L+MET</t>
  </si>
  <si>
    <t>Zn5mM+MP5g/L+MET</t>
  </si>
  <si>
    <t>Zn10mM+MP2,5g/L+MET</t>
  </si>
  <si>
    <t>Zn10mM+MP5g/L+MET</t>
  </si>
  <si>
    <t>Cu2,5mM+MP2,5g/L+MET</t>
  </si>
  <si>
    <t>Cu2,5mM+MP5g/L+MET</t>
  </si>
  <si>
    <t>Cu5mM+MP2,5g/L+MET</t>
  </si>
  <si>
    <t>Cu5mM+MP5g/L+MET</t>
  </si>
  <si>
    <t xml:space="preserve">OXA </t>
  </si>
  <si>
    <t xml:space="preserve">M2H </t>
  </si>
  <si>
    <t xml:space="preserve">MDES </t>
  </si>
  <si>
    <t>1. Control T2</t>
  </si>
  <si>
    <t>16. Control T2+MET</t>
  </si>
  <si>
    <t>1. Control T2+MET</t>
  </si>
  <si>
    <t>16. Control T2</t>
  </si>
  <si>
    <t>Control 1</t>
  </si>
  <si>
    <t>Control2</t>
  </si>
  <si>
    <t>Control3</t>
  </si>
  <si>
    <t>Control1+MET</t>
  </si>
  <si>
    <t>Control2+MET</t>
  </si>
  <si>
    <t>Control3+MET</t>
  </si>
  <si>
    <t>Control</t>
  </si>
  <si>
    <t>Control+MET</t>
  </si>
  <si>
    <t>Sample 1</t>
  </si>
  <si>
    <t>Sample 2</t>
  </si>
  <si>
    <t>Sample 3</t>
  </si>
  <si>
    <t>Sample abiotic</t>
  </si>
  <si>
    <t>Sample biotic</t>
  </si>
  <si>
    <t>filter(g)</t>
  </si>
  <si>
    <t>filter (g)</t>
  </si>
  <si>
    <t>filter+Biomass (g)</t>
  </si>
  <si>
    <t>Biomass (g)</t>
  </si>
  <si>
    <t>Biomass (g/L)</t>
  </si>
  <si>
    <t>Results</t>
  </si>
  <si>
    <t>Results w  %</t>
  </si>
  <si>
    <t>Degradation %</t>
  </si>
  <si>
    <t>Average (%)</t>
  </si>
  <si>
    <t>Average</t>
  </si>
  <si>
    <t>Average (g/L)</t>
  </si>
  <si>
    <t>1 Sample</t>
  </si>
  <si>
    <t>2 Sample</t>
  </si>
  <si>
    <t>3 Sample</t>
  </si>
  <si>
    <t>Filter(g)</t>
  </si>
  <si>
    <t>Filter+Biomass (g)</t>
  </si>
  <si>
    <t>Ak time</t>
  </si>
  <si>
    <t>U Average</t>
  </si>
  <si>
    <t>Per protein (U/mg białka)</t>
  </si>
  <si>
    <t>A1 time</t>
  </si>
  <si>
    <t>A2 time</t>
  </si>
  <si>
    <t>A blank</t>
  </si>
  <si>
    <t>U/mg protein</t>
  </si>
  <si>
    <t>Average (U/mg białka)</t>
  </si>
  <si>
    <t>Average (mg/ml)</t>
  </si>
  <si>
    <t>A1 results</t>
  </si>
  <si>
    <t>A2 results</t>
  </si>
  <si>
    <t>Biomass (mg)</t>
  </si>
  <si>
    <t>Average (nmol/g)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</si>
</sst>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.000"/>
    <numFmt numFmtId="166" formatCode="0.000000"/>
    <numFmt numFmtId="167" formatCode="0.00000"/>
    <numFmt numFmtId="168" formatCode="#,##0.000"/>
    <numFmt numFmtId="169" formatCode="0.0000"/>
  </numFmts>
  <fonts count="6" x14ac:knownFonts="1">
    <font>
      <sz val="11"/>
      <color theme="1"/>
      <name val="Aptos Narrow"/>
      <family val="2"/>
      <charset val="238"/>
      <scheme val="minor"/>
    </font>
    <font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6" borderId="0" xfId="0" applyFill="1"/>
    <xf numFmtId="0" fontId="0" fillId="2" borderId="1" xfId="0" applyFill="1" applyBorder="1"/>
    <xf numFmtId="0" fontId="0" fillId="0" borderId="1" xfId="0" applyBorder="1"/>
    <xf numFmtId="0" fontId="1" fillId="0" borderId="1" xfId="0" applyFont="1" applyBorder="1"/>
    <xf numFmtId="0" fontId="1" fillId="2" borderId="1" xfId="0" applyFont="1" applyFill="1" applyBorder="1"/>
    <xf numFmtId="0" fontId="0" fillId="3" borderId="1" xfId="0" applyFill="1" applyBorder="1"/>
    <xf numFmtId="0" fontId="0" fillId="4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2" fontId="0" fillId="0" borderId="1" xfId="0" applyNumberFormat="1" applyBorder="1"/>
    <xf numFmtId="0" fontId="1" fillId="7" borderId="1" xfId="0" applyFont="1" applyFill="1" applyBorder="1"/>
    <xf numFmtId="0" fontId="3" fillId="0" borderId="1" xfId="0" applyFont="1" applyBorder="1" applyAlignment="1">
      <alignment vertical="center" wrapText="1"/>
    </xf>
    <xf numFmtId="0" fontId="1" fillId="0" borderId="2" xfId="0" applyFont="1" applyBorder="1"/>
    <xf numFmtId="0" fontId="1" fillId="7" borderId="1" xfId="0" applyFont="1" applyFill="1" applyBorder="1" applyAlignment="1">
      <alignment vertical="center" wrapText="1"/>
    </xf>
    <xf numFmtId="0" fontId="1" fillId="9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9" borderId="3" xfId="0" applyFont="1" applyFill="1" applyBorder="1" applyAlignment="1">
      <alignment vertical="center" wrapText="1"/>
    </xf>
    <xf numFmtId="0" fontId="4" fillId="0" borderId="1" xfId="0" applyFont="1" applyBorder="1"/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/>
    </xf>
    <xf numFmtId="0" fontId="1" fillId="7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0" borderId="3" xfId="0" applyFont="1" applyBorder="1"/>
    <xf numFmtId="0" fontId="1" fillId="0" borderId="8" xfId="0" applyFont="1" applyBorder="1"/>
    <xf numFmtId="0" fontId="1" fillId="0" borderId="4" xfId="0" applyFont="1" applyBorder="1"/>
    <xf numFmtId="0" fontId="1" fillId="0" borderId="0" xfId="0" applyFont="1"/>
    <xf numFmtId="2" fontId="1" fillId="0" borderId="1" xfId="0" applyNumberFormat="1" applyFont="1" applyBorder="1"/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9" borderId="1" xfId="0" applyFont="1" applyFill="1" applyBorder="1" applyAlignment="1">
      <alignment horizontal="center" vertical="center" wrapText="1"/>
    </xf>
    <xf numFmtId="0" fontId="1" fillId="9" borderId="4" xfId="0" applyFont="1" applyFill="1" applyBorder="1" applyAlignment="1">
      <alignment horizontal="center"/>
    </xf>
    <xf numFmtId="2" fontId="1" fillId="9" borderId="1" xfId="0" applyNumberFormat="1" applyFont="1" applyFill="1" applyBorder="1" applyAlignment="1">
      <alignment horizontal="center"/>
    </xf>
    <xf numFmtId="10" fontId="1" fillId="7" borderId="1" xfId="0" applyNumberFormat="1" applyFont="1" applyFill="1" applyBorder="1" applyAlignment="1">
      <alignment horizontal="center"/>
    </xf>
    <xf numFmtId="0" fontId="1" fillId="7" borderId="0" xfId="0" applyFont="1" applyFill="1"/>
    <xf numFmtId="2" fontId="1" fillId="0" borderId="0" xfId="0" applyNumberFormat="1" applyFont="1"/>
    <xf numFmtId="165" fontId="1" fillId="0" borderId="1" xfId="0" applyNumberFormat="1" applyFont="1" applyBorder="1"/>
    <xf numFmtId="165" fontId="1" fillId="7" borderId="1" xfId="0" applyNumberFormat="1" applyFont="1" applyFill="1" applyBorder="1"/>
    <xf numFmtId="0" fontId="1" fillId="5" borderId="1" xfId="0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4" fillId="0" borderId="1" xfId="0" applyFont="1" applyBorder="1" applyAlignment="1">
      <alignment vertical="center" wrapText="1"/>
    </xf>
    <xf numFmtId="0" fontId="1" fillId="0" borderId="6" xfId="0" applyFont="1" applyBorder="1"/>
    <xf numFmtId="0" fontId="1" fillId="2" borderId="0" xfId="0" applyFont="1" applyFill="1"/>
    <xf numFmtId="2" fontId="1" fillId="2" borderId="1" xfId="0" applyNumberFormat="1" applyFont="1" applyFill="1" applyBorder="1"/>
    <xf numFmtId="2" fontId="1" fillId="0" borderId="2" xfId="0" applyNumberFormat="1" applyFont="1" applyBorder="1"/>
    <xf numFmtId="0" fontId="1" fillId="0" borderId="3" xfId="0" applyFont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2" fillId="0" borderId="0" xfId="0" applyFont="1"/>
    <xf numFmtId="166" fontId="5" fillId="0" borderId="1" xfId="0" applyNumberFormat="1" applyFont="1" applyBorder="1" applyAlignment="1">
      <alignment horizontal="center"/>
    </xf>
    <xf numFmtId="167" fontId="5" fillId="0" borderId="1" xfId="0" applyNumberFormat="1" applyFont="1" applyBorder="1" applyAlignment="1">
      <alignment horizontal="center"/>
    </xf>
    <xf numFmtId="2" fontId="1" fillId="0" borderId="0" xfId="0" applyNumberFormat="1" applyFont="1" applyAlignment="1">
      <alignment horizontal="center"/>
    </xf>
    <xf numFmtId="168" fontId="1" fillId="0" borderId="0" xfId="0" applyNumberFormat="1" applyFont="1"/>
    <xf numFmtId="168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9" fontId="1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center"/>
    </xf>
    <xf numFmtId="2" fontId="0" fillId="0" borderId="0" xfId="0" applyNumberFormat="1"/>
    <xf numFmtId="4" fontId="1" fillId="0" borderId="0" xfId="0" applyNumberFormat="1" applyFont="1"/>
    <xf numFmtId="164" fontId="0" fillId="0" borderId="1" xfId="0" applyNumberFormat="1" applyBorder="1"/>
    <xf numFmtId="2" fontId="0" fillId="2" borderId="1" xfId="0" applyNumberFormat="1" applyFill="1" applyBorder="1"/>
    <xf numFmtId="0" fontId="0" fillId="10" borderId="1" xfId="0" applyFill="1" applyBorder="1"/>
    <xf numFmtId="0" fontId="1" fillId="6" borderId="1" xfId="0" applyFont="1" applyFill="1" applyBorder="1"/>
    <xf numFmtId="0" fontId="1" fillId="5" borderId="1" xfId="0" applyFont="1" applyFill="1" applyBorder="1"/>
    <xf numFmtId="0" fontId="2" fillId="6" borderId="1" xfId="0" applyFont="1" applyFill="1" applyBorder="1"/>
    <xf numFmtId="2" fontId="2" fillId="6" borderId="1" xfId="0" applyNumberFormat="1" applyFont="1" applyFill="1" applyBorder="1"/>
    <xf numFmtId="0" fontId="2" fillId="5" borderId="1" xfId="0" applyFont="1" applyFill="1" applyBorder="1"/>
    <xf numFmtId="0" fontId="1" fillId="11" borderId="1" xfId="0" applyFont="1" applyFill="1" applyBorder="1"/>
    <xf numFmtId="2" fontId="1" fillId="6" borderId="1" xfId="0" applyNumberFormat="1" applyFont="1" applyFill="1" applyBorder="1" applyAlignment="1">
      <alignment horizontal="right"/>
    </xf>
    <xf numFmtId="0" fontId="2" fillId="11" borderId="1" xfId="0" applyFont="1" applyFill="1" applyBorder="1"/>
    <xf numFmtId="0" fontId="1" fillId="5" borderId="3" xfId="0" applyFont="1" applyFill="1" applyBorder="1" applyAlignment="1">
      <alignment vertical="center" wrapText="1"/>
    </xf>
    <xf numFmtId="2" fontId="1" fillId="5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4" fillId="2" borderId="0" xfId="0" applyFont="1" applyFill="1"/>
    <xf numFmtId="0" fontId="4" fillId="0" borderId="3" xfId="0" applyFont="1" applyBorder="1"/>
    <xf numFmtId="0" fontId="4" fillId="0" borderId="0" xfId="0" applyFont="1"/>
    <xf numFmtId="0" fontId="1" fillId="0" borderId="3" xfId="0" applyFont="1" applyBorder="1" applyAlignment="1">
      <alignment horizontal="center" vertical="center" wrapText="1"/>
    </xf>
    <xf numFmtId="165" fontId="1" fillId="0" borderId="3" xfId="0" applyNumberFormat="1" applyFont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2" fontId="2" fillId="2" borderId="1" xfId="0" applyNumberFormat="1" applyFont="1" applyFill="1" applyBorder="1"/>
    <xf numFmtId="0" fontId="1" fillId="0" borderId="7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6" borderId="0" xfId="0" applyFont="1" applyFill="1"/>
    <xf numFmtId="0" fontId="1" fillId="5" borderId="0" xfId="0" applyFont="1" applyFill="1"/>
    <xf numFmtId="2" fontId="2" fillId="0" borderId="0" xfId="0" applyNumberFormat="1" applyFont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01EBE-C8A5-426B-866C-AE2858D0871A}">
  <dimension ref="A1:Z69"/>
  <sheetViews>
    <sheetView topLeftCell="A38" zoomScale="80" zoomScaleNormal="101" workbookViewId="0">
      <selection activeCell="F63" sqref="F63"/>
    </sheetView>
  </sheetViews>
  <sheetFormatPr defaultRowHeight="15" x14ac:dyDescent="0.25"/>
  <sheetData>
    <row r="1" spans="1:26" x14ac:dyDescent="0.25">
      <c r="A1" s="3"/>
      <c r="B1" s="2" t="s">
        <v>308</v>
      </c>
      <c r="C1" s="2" t="s">
        <v>309</v>
      </c>
      <c r="D1" s="2" t="s">
        <v>0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3"/>
      <c r="O1" s="2" t="s">
        <v>308</v>
      </c>
      <c r="P1" s="2" t="s">
        <v>309</v>
      </c>
      <c r="Q1" s="2" t="s">
        <v>64</v>
      </c>
      <c r="R1" s="2" t="s">
        <v>65</v>
      </c>
      <c r="S1" s="2" t="s">
        <v>66</v>
      </c>
      <c r="T1" s="2" t="s">
        <v>67</v>
      </c>
      <c r="U1" s="2" t="s">
        <v>10</v>
      </c>
      <c r="V1" s="2" t="s">
        <v>68</v>
      </c>
      <c r="W1" s="2" t="s">
        <v>11</v>
      </c>
      <c r="X1" s="2" t="s">
        <v>12</v>
      </c>
      <c r="Y1" s="2" t="s">
        <v>69</v>
      </c>
      <c r="Z1" s="2" t="s">
        <v>14</v>
      </c>
    </row>
    <row r="2" spans="1:26" x14ac:dyDescent="0.25">
      <c r="A2" s="6" t="s">
        <v>15</v>
      </c>
      <c r="B2" s="3">
        <v>1023</v>
      </c>
      <c r="C2" s="3">
        <v>34758</v>
      </c>
      <c r="D2" s="3">
        <v>33254</v>
      </c>
      <c r="E2" s="3">
        <v>32935</v>
      </c>
      <c r="F2" s="3">
        <v>31220</v>
      </c>
      <c r="G2" s="3">
        <v>31099</v>
      </c>
      <c r="H2" s="3">
        <v>29278</v>
      </c>
      <c r="I2" s="3">
        <v>28932</v>
      </c>
      <c r="J2" s="3">
        <v>19295</v>
      </c>
      <c r="K2" s="3">
        <v>848</v>
      </c>
      <c r="L2" s="3">
        <v>761</v>
      </c>
      <c r="M2" s="3">
        <v>453</v>
      </c>
      <c r="N2" s="7" t="s">
        <v>16</v>
      </c>
      <c r="O2" s="3">
        <v>1158</v>
      </c>
      <c r="P2" s="3">
        <v>36745</v>
      </c>
      <c r="Q2" s="3">
        <v>33855</v>
      </c>
      <c r="R2" s="3">
        <v>32516</v>
      </c>
      <c r="S2" s="3">
        <v>29570</v>
      </c>
      <c r="T2" s="3">
        <v>21746</v>
      </c>
      <c r="U2" s="3">
        <v>8007</v>
      </c>
      <c r="V2" s="3">
        <v>3156</v>
      </c>
      <c r="W2" s="3">
        <v>2048</v>
      </c>
      <c r="X2" s="3">
        <v>1122</v>
      </c>
      <c r="Y2" s="3">
        <v>818</v>
      </c>
      <c r="Z2" s="3">
        <v>143</v>
      </c>
    </row>
    <row r="3" spans="1:26" x14ac:dyDescent="0.25">
      <c r="A3" s="3"/>
      <c r="B3" s="3">
        <v>1099</v>
      </c>
      <c r="C3" s="3">
        <v>37503</v>
      </c>
      <c r="D3" s="3">
        <v>34776</v>
      </c>
      <c r="E3" s="3">
        <v>33029</v>
      </c>
      <c r="F3" s="3">
        <v>32508</v>
      </c>
      <c r="G3" s="3">
        <v>31717</v>
      </c>
      <c r="H3" s="3">
        <v>31549</v>
      </c>
      <c r="I3" s="3">
        <v>30391</v>
      </c>
      <c r="J3" s="3">
        <v>20411</v>
      </c>
      <c r="K3" s="3">
        <v>812</v>
      </c>
      <c r="L3" s="3">
        <v>743</v>
      </c>
      <c r="M3" s="3">
        <v>464</v>
      </c>
      <c r="N3" s="3"/>
      <c r="O3" s="3">
        <v>1150</v>
      </c>
      <c r="P3" s="3">
        <v>35139</v>
      </c>
      <c r="Q3" s="3">
        <v>34402</v>
      </c>
      <c r="R3" s="3">
        <v>33046</v>
      </c>
      <c r="S3" s="3">
        <v>30998</v>
      </c>
      <c r="T3" s="3">
        <v>21360</v>
      </c>
      <c r="U3" s="3">
        <v>9444</v>
      </c>
      <c r="V3" s="3">
        <v>3246</v>
      </c>
      <c r="W3" s="3">
        <v>1677</v>
      </c>
      <c r="X3" s="3">
        <v>1105</v>
      </c>
      <c r="Y3" s="3">
        <v>876</v>
      </c>
      <c r="Z3" s="3">
        <v>135</v>
      </c>
    </row>
    <row r="4" spans="1:26" x14ac:dyDescent="0.25">
      <c r="A4" s="3"/>
      <c r="B4" s="3">
        <v>1094</v>
      </c>
      <c r="C4" s="3">
        <v>38364</v>
      </c>
      <c r="D4" s="3">
        <v>34426</v>
      </c>
      <c r="E4" s="3">
        <v>34212</v>
      </c>
      <c r="F4" s="3">
        <v>33017</v>
      </c>
      <c r="G4" s="3">
        <v>32056</v>
      </c>
      <c r="H4" s="3">
        <v>31117</v>
      </c>
      <c r="I4" s="3">
        <v>28349</v>
      </c>
      <c r="J4" s="3">
        <v>20454</v>
      </c>
      <c r="K4" s="3">
        <v>858</v>
      </c>
      <c r="L4" s="3">
        <v>743</v>
      </c>
      <c r="M4" s="3">
        <v>473</v>
      </c>
      <c r="N4" s="3"/>
      <c r="O4" s="3">
        <v>1154</v>
      </c>
      <c r="P4" s="3">
        <v>37578</v>
      </c>
      <c r="Q4" s="3">
        <v>34182</v>
      </c>
      <c r="R4" s="3">
        <v>33158</v>
      </c>
      <c r="S4" s="3">
        <v>31972</v>
      </c>
      <c r="T4" s="3">
        <v>23099</v>
      </c>
      <c r="U4" s="3">
        <v>8079</v>
      </c>
      <c r="V4" s="3">
        <v>3669</v>
      </c>
      <c r="W4" s="3">
        <v>2100</v>
      </c>
      <c r="X4" s="3">
        <v>1102</v>
      </c>
      <c r="Y4" s="3">
        <v>762</v>
      </c>
      <c r="Z4" s="3">
        <v>135</v>
      </c>
    </row>
    <row r="5" spans="1:26" x14ac:dyDescent="0.25">
      <c r="A5" s="3" t="s">
        <v>17</v>
      </c>
      <c r="B5" s="11">
        <f>AVERAGE(B2:B4)</f>
        <v>1072</v>
      </c>
      <c r="C5" s="66">
        <f>AVERAGE(C2:C4)</f>
        <v>36875</v>
      </c>
      <c r="D5" s="66">
        <f t="shared" ref="D5:J5" si="0">AVERAGE(D2:D4)</f>
        <v>34152</v>
      </c>
      <c r="E5" s="66">
        <f t="shared" si="0"/>
        <v>33392</v>
      </c>
      <c r="F5" s="66">
        <f t="shared" si="0"/>
        <v>32248.333333333332</v>
      </c>
      <c r="G5" s="66">
        <f t="shared" si="0"/>
        <v>31624</v>
      </c>
      <c r="H5" s="66">
        <f t="shared" si="0"/>
        <v>30648</v>
      </c>
      <c r="I5" s="66">
        <f t="shared" si="0"/>
        <v>29224</v>
      </c>
      <c r="J5" s="66">
        <f t="shared" si="0"/>
        <v>20053.333333333332</v>
      </c>
      <c r="K5" s="11">
        <f t="shared" ref="K5:M5" si="1">AVERAGE(K2:K4)</f>
        <v>839.33333333333337</v>
      </c>
      <c r="L5" s="11">
        <f t="shared" si="1"/>
        <v>749</v>
      </c>
      <c r="M5" s="11">
        <f t="shared" si="1"/>
        <v>463.33333333333331</v>
      </c>
      <c r="N5" s="3" t="s">
        <v>17</v>
      </c>
      <c r="O5" s="3">
        <f>AVERAGE(O2:O4)</f>
        <v>1154</v>
      </c>
      <c r="P5" s="3">
        <f t="shared" ref="P5:Z5" si="2">AVERAGE(P2:P4)</f>
        <v>36487.333333333336</v>
      </c>
      <c r="Q5" s="3">
        <f t="shared" si="2"/>
        <v>34146.333333333336</v>
      </c>
      <c r="R5" s="3">
        <f t="shared" si="2"/>
        <v>32906.666666666664</v>
      </c>
      <c r="S5" s="3">
        <f t="shared" si="2"/>
        <v>30846.666666666668</v>
      </c>
      <c r="T5" s="3">
        <f t="shared" si="2"/>
        <v>22068.333333333332</v>
      </c>
      <c r="U5" s="3">
        <f t="shared" si="2"/>
        <v>8510</v>
      </c>
      <c r="V5" s="3">
        <f t="shared" si="2"/>
        <v>3357</v>
      </c>
      <c r="W5" s="3">
        <f t="shared" si="2"/>
        <v>1941.6666666666667</v>
      </c>
      <c r="X5" s="3">
        <f t="shared" si="2"/>
        <v>1109.6666666666667</v>
      </c>
      <c r="Y5" s="3">
        <f t="shared" si="2"/>
        <v>818.66666666666663</v>
      </c>
      <c r="Z5" s="3">
        <f t="shared" si="2"/>
        <v>137.66666666666666</v>
      </c>
    </row>
    <row r="6" spans="1:26" x14ac:dyDescent="0.25">
      <c r="A6" s="3" t="s">
        <v>15</v>
      </c>
      <c r="B6" s="3"/>
      <c r="C6" s="3">
        <f>C2-B2</f>
        <v>33735</v>
      </c>
      <c r="D6" s="3">
        <f>D2-B2</f>
        <v>32231</v>
      </c>
      <c r="E6" s="3">
        <f>E2-B2</f>
        <v>31912</v>
      </c>
      <c r="F6" s="3">
        <f>F2-B2</f>
        <v>30197</v>
      </c>
      <c r="G6" s="3">
        <f>G2-B2</f>
        <v>30076</v>
      </c>
      <c r="H6" s="3">
        <f>H2-B2</f>
        <v>28255</v>
      </c>
      <c r="I6" s="3">
        <f>I2-B2</f>
        <v>27909</v>
      </c>
      <c r="J6" s="3">
        <f>J2-B2</f>
        <v>18272</v>
      </c>
      <c r="K6" s="3">
        <v>0</v>
      </c>
      <c r="L6" s="3">
        <v>0</v>
      </c>
      <c r="M6" s="3">
        <v>0</v>
      </c>
      <c r="N6" s="3" t="s">
        <v>16</v>
      </c>
      <c r="O6" s="3"/>
      <c r="P6" s="3">
        <f>P2-O2</f>
        <v>35587</v>
      </c>
      <c r="Q6" s="3">
        <f>Q2-O2</f>
        <v>32697</v>
      </c>
      <c r="R6" s="3">
        <f>R2-O2</f>
        <v>31358</v>
      </c>
      <c r="S6" s="3">
        <f>S2-O2</f>
        <v>28412</v>
      </c>
      <c r="T6" s="3">
        <f>T2-O2</f>
        <v>20588</v>
      </c>
      <c r="U6" s="3">
        <f>U2-O2</f>
        <v>6849</v>
      </c>
      <c r="V6" s="3">
        <f>V2-O2</f>
        <v>1998</v>
      </c>
      <c r="W6" s="3">
        <f>W2-O2</f>
        <v>890</v>
      </c>
      <c r="X6" s="3">
        <v>0</v>
      </c>
      <c r="Y6" s="3">
        <v>0</v>
      </c>
      <c r="Z6" s="3">
        <v>0</v>
      </c>
    </row>
    <row r="7" spans="1:26" x14ac:dyDescent="0.25">
      <c r="A7" s="3"/>
      <c r="B7" s="3"/>
      <c r="C7" s="3">
        <f>C3-B3</f>
        <v>36404</v>
      </c>
      <c r="D7" s="3">
        <f>D3-B3</f>
        <v>33677</v>
      </c>
      <c r="E7" s="3">
        <f>E3-B3</f>
        <v>31930</v>
      </c>
      <c r="F7" s="3">
        <f>F3-B3</f>
        <v>31409</v>
      </c>
      <c r="G7" s="3">
        <f>G3-B3</f>
        <v>30618</v>
      </c>
      <c r="H7" s="3">
        <f>H3-B3</f>
        <v>30450</v>
      </c>
      <c r="I7" s="3">
        <f>I3-B3</f>
        <v>29292</v>
      </c>
      <c r="J7" s="3">
        <f>J3-B3</f>
        <v>19312</v>
      </c>
      <c r="K7" s="3">
        <v>0</v>
      </c>
      <c r="L7" s="3">
        <v>0</v>
      </c>
      <c r="M7" s="3">
        <v>0</v>
      </c>
      <c r="N7" s="3"/>
      <c r="O7" s="3"/>
      <c r="P7" s="3">
        <f>P3-O3</f>
        <v>33989</v>
      </c>
      <c r="Q7" s="3">
        <f>Q3-O3</f>
        <v>33252</v>
      </c>
      <c r="R7" s="3">
        <f>R3-O3</f>
        <v>31896</v>
      </c>
      <c r="S7" s="3">
        <f>S3-O3</f>
        <v>29848</v>
      </c>
      <c r="T7" s="3">
        <f>T3-O3</f>
        <v>20210</v>
      </c>
      <c r="U7" s="3">
        <f>U3-O3</f>
        <v>8294</v>
      </c>
      <c r="V7" s="3">
        <f>V3-O3</f>
        <v>2096</v>
      </c>
      <c r="W7" s="3">
        <f>W3-O3</f>
        <v>527</v>
      </c>
      <c r="X7" s="3">
        <v>0</v>
      </c>
      <c r="Y7" s="3">
        <v>0</v>
      </c>
      <c r="Z7" s="3">
        <v>0</v>
      </c>
    </row>
    <row r="8" spans="1:26" x14ac:dyDescent="0.25">
      <c r="A8" s="3"/>
      <c r="B8" s="3"/>
      <c r="C8" s="3">
        <f>C4-B4</f>
        <v>37270</v>
      </c>
      <c r="D8" s="3">
        <f>D4-B4</f>
        <v>33332</v>
      </c>
      <c r="E8" s="3">
        <f>E4-B4</f>
        <v>33118</v>
      </c>
      <c r="F8" s="3">
        <f>F4-B4</f>
        <v>31923</v>
      </c>
      <c r="G8" s="3">
        <f>G4-B4</f>
        <v>30962</v>
      </c>
      <c r="H8" s="3">
        <f>H4-B4</f>
        <v>30023</v>
      </c>
      <c r="I8" s="3">
        <f>I4-B4</f>
        <v>27255</v>
      </c>
      <c r="J8" s="3">
        <f>J4-B4</f>
        <v>19360</v>
      </c>
      <c r="K8" s="3">
        <v>0</v>
      </c>
      <c r="L8" s="3">
        <v>0</v>
      </c>
      <c r="M8" s="3">
        <v>0</v>
      </c>
      <c r="N8" s="3"/>
      <c r="O8" s="3"/>
      <c r="P8" s="3">
        <f>P4-O4</f>
        <v>36424</v>
      </c>
      <c r="Q8" s="3">
        <f>Q4-O4</f>
        <v>33028</v>
      </c>
      <c r="R8" s="3">
        <f>R4-O4</f>
        <v>32004</v>
      </c>
      <c r="S8" s="3">
        <f>S4-O4</f>
        <v>30818</v>
      </c>
      <c r="T8" s="3">
        <f>T4-O4</f>
        <v>21945</v>
      </c>
      <c r="U8" s="3">
        <f>U4-O4</f>
        <v>6925</v>
      </c>
      <c r="V8" s="3">
        <f>V4-O4</f>
        <v>2515</v>
      </c>
      <c r="W8" s="3">
        <f>W4-O4</f>
        <v>946</v>
      </c>
      <c r="X8" s="3">
        <v>0</v>
      </c>
      <c r="Y8" s="3">
        <v>0</v>
      </c>
      <c r="Z8" s="3">
        <v>0</v>
      </c>
    </row>
    <row r="9" spans="1:26" x14ac:dyDescent="0.25">
      <c r="A9" s="3"/>
      <c r="B9" s="3"/>
      <c r="C9" s="3">
        <f>AVERAGE(C6:C8)</f>
        <v>35803</v>
      </c>
      <c r="D9" s="3">
        <f t="shared" ref="D9:M9" si="3">AVERAGE(D6:D8)</f>
        <v>33080</v>
      </c>
      <c r="E9" s="3">
        <f t="shared" si="3"/>
        <v>32320</v>
      </c>
      <c r="F9" s="3">
        <f t="shared" si="3"/>
        <v>31176.333333333332</v>
      </c>
      <c r="G9" s="3">
        <f t="shared" si="3"/>
        <v>30552</v>
      </c>
      <c r="H9" s="3">
        <f t="shared" si="3"/>
        <v>29576</v>
      </c>
      <c r="I9" s="3">
        <f t="shared" si="3"/>
        <v>28152</v>
      </c>
      <c r="J9" s="3">
        <f t="shared" si="3"/>
        <v>18981.333333333332</v>
      </c>
      <c r="K9" s="3">
        <f t="shared" si="3"/>
        <v>0</v>
      </c>
      <c r="L9" s="3">
        <f t="shared" si="3"/>
        <v>0</v>
      </c>
      <c r="M9" s="3">
        <f t="shared" si="3"/>
        <v>0</v>
      </c>
      <c r="N9" s="3"/>
      <c r="O9" s="3"/>
      <c r="P9" s="3">
        <f>AVERAGE(P6:P8)</f>
        <v>35333.333333333336</v>
      </c>
      <c r="Q9" s="3">
        <f t="shared" ref="Q9:Z9" si="4">AVERAGE(Q6:Q8)</f>
        <v>32992.333333333336</v>
      </c>
      <c r="R9" s="3">
        <f t="shared" si="4"/>
        <v>31752.666666666668</v>
      </c>
      <c r="S9" s="3">
        <f t="shared" si="4"/>
        <v>29692.666666666668</v>
      </c>
      <c r="T9" s="3">
        <f t="shared" si="4"/>
        <v>20914.333333333332</v>
      </c>
      <c r="U9" s="3">
        <f t="shared" si="4"/>
        <v>7356</v>
      </c>
      <c r="V9" s="3">
        <f t="shared" si="4"/>
        <v>2203</v>
      </c>
      <c r="W9" s="3">
        <f t="shared" si="4"/>
        <v>787.66666666666663</v>
      </c>
      <c r="X9" s="3">
        <f t="shared" si="4"/>
        <v>0</v>
      </c>
      <c r="Y9" s="3">
        <f t="shared" si="4"/>
        <v>0</v>
      </c>
      <c r="Z9" s="3">
        <f t="shared" si="4"/>
        <v>0</v>
      </c>
    </row>
    <row r="11" spans="1:26" x14ac:dyDescent="0.25">
      <c r="A11" s="3"/>
      <c r="B11" s="2" t="s">
        <v>309</v>
      </c>
      <c r="C11" s="2" t="s">
        <v>0</v>
      </c>
      <c r="D11" s="2" t="s">
        <v>1</v>
      </c>
      <c r="E11" s="2" t="s">
        <v>2</v>
      </c>
      <c r="F11" s="2" t="s">
        <v>3</v>
      </c>
      <c r="G11" s="2" t="s">
        <v>4</v>
      </c>
      <c r="H11" s="2" t="s">
        <v>5</v>
      </c>
      <c r="I11" s="2" t="s">
        <v>6</v>
      </c>
      <c r="J11" s="2" t="s">
        <v>7</v>
      </c>
      <c r="K11" s="2" t="s">
        <v>8</v>
      </c>
      <c r="L11" s="2" t="s">
        <v>9</v>
      </c>
      <c r="N11" s="3"/>
      <c r="O11" s="2" t="s">
        <v>309</v>
      </c>
      <c r="P11" s="2" t="s">
        <v>64</v>
      </c>
      <c r="Q11" s="2" t="s">
        <v>65</v>
      </c>
      <c r="R11" s="2" t="s">
        <v>66</v>
      </c>
      <c r="S11" s="2" t="s">
        <v>67</v>
      </c>
      <c r="T11" s="2" t="s">
        <v>10</v>
      </c>
      <c r="U11" s="2" t="s">
        <v>68</v>
      </c>
      <c r="V11" s="2" t="s">
        <v>11</v>
      </c>
      <c r="W11" s="2" t="s">
        <v>12</v>
      </c>
      <c r="X11" s="2" t="s">
        <v>69</v>
      </c>
      <c r="Y11" s="2" t="s">
        <v>14</v>
      </c>
    </row>
    <row r="12" spans="1:26" x14ac:dyDescent="0.25">
      <c r="A12" s="6" t="s">
        <v>15</v>
      </c>
      <c r="B12" s="3">
        <f t="shared" ref="B12:I14" si="5">(C6*100)/$C$9</f>
        <v>94.223947713878729</v>
      </c>
      <c r="C12" s="3">
        <f t="shared" si="5"/>
        <v>90.023182414881433</v>
      </c>
      <c r="D12" s="3">
        <f t="shared" si="5"/>
        <v>89.132195626064856</v>
      </c>
      <c r="E12" s="3">
        <f t="shared" si="5"/>
        <v>84.342094237913031</v>
      </c>
      <c r="F12" s="3">
        <f t="shared" si="5"/>
        <v>84.004133731810185</v>
      </c>
      <c r="G12" s="3">
        <f t="shared" si="5"/>
        <v>78.91796776806413</v>
      </c>
      <c r="H12" s="3">
        <f t="shared" si="5"/>
        <v>77.951568304332042</v>
      </c>
      <c r="I12" s="3">
        <f t="shared" si="5"/>
        <v>51.034829483562831</v>
      </c>
      <c r="J12" s="3">
        <v>0</v>
      </c>
      <c r="K12" s="3">
        <v>0</v>
      </c>
      <c r="L12" s="3">
        <v>0</v>
      </c>
      <c r="N12" s="7" t="s">
        <v>16</v>
      </c>
      <c r="O12" s="3">
        <f>(P6*100)/$P$9</f>
        <v>100.71792452830188</v>
      </c>
      <c r="P12" s="3">
        <f t="shared" ref="P12:V12" si="6">(Q6*100)/$P$9</f>
        <v>92.538679245283006</v>
      </c>
      <c r="Q12" s="3">
        <f t="shared" si="6"/>
        <v>88.749056603773582</v>
      </c>
      <c r="R12" s="3">
        <f t="shared" si="6"/>
        <v>80.411320754716982</v>
      </c>
      <c r="S12" s="3">
        <f t="shared" si="6"/>
        <v>58.267924528301883</v>
      </c>
      <c r="T12" s="3">
        <f t="shared" si="6"/>
        <v>19.383962264150941</v>
      </c>
      <c r="U12" s="3">
        <f t="shared" si="6"/>
        <v>5.6547169811320748</v>
      </c>
      <c r="V12" s="3">
        <f t="shared" si="6"/>
        <v>2.5188679245283017</v>
      </c>
      <c r="W12" s="3">
        <v>0</v>
      </c>
      <c r="X12" s="3">
        <v>0</v>
      </c>
      <c r="Y12" s="3">
        <v>0</v>
      </c>
    </row>
    <row r="13" spans="1:26" x14ac:dyDescent="0.25">
      <c r="A13" s="3"/>
      <c r="B13" s="3">
        <f>(C7*100)/$C$9</f>
        <v>101.67863028237858</v>
      </c>
      <c r="C13" s="3">
        <f t="shared" si="5"/>
        <v>94.061950115912069</v>
      </c>
      <c r="D13" s="3">
        <f t="shared" si="5"/>
        <v>89.182470742675193</v>
      </c>
      <c r="E13" s="3">
        <f t="shared" si="5"/>
        <v>87.727285423009249</v>
      </c>
      <c r="F13" s="3">
        <f t="shared" si="5"/>
        <v>85.5179733541882</v>
      </c>
      <c r="G13" s="3">
        <f t="shared" si="5"/>
        <v>85.048738932491688</v>
      </c>
      <c r="H13" s="3">
        <f t="shared" si="5"/>
        <v>81.814373097226493</v>
      </c>
      <c r="I13" s="3">
        <f t="shared" si="5"/>
        <v>53.939613998826914</v>
      </c>
      <c r="J13" s="3">
        <v>0</v>
      </c>
      <c r="K13" s="3">
        <v>0</v>
      </c>
      <c r="L13" s="3">
        <v>0</v>
      </c>
      <c r="N13" s="3"/>
      <c r="O13" s="3">
        <f t="shared" ref="O13:R14" si="7">(P7*100)/$P$9</f>
        <v>96.195283018867912</v>
      </c>
      <c r="P13" s="3">
        <f t="shared" si="7"/>
        <v>94.109433962264148</v>
      </c>
      <c r="Q13" s="3">
        <f t="shared" si="7"/>
        <v>90.271698113207535</v>
      </c>
      <c r="R13" s="3">
        <f t="shared" si="7"/>
        <v>84.475471698113196</v>
      </c>
      <c r="S13" s="3">
        <f t="shared" ref="S13" si="8">(T7*100)/$P$9</f>
        <v>57.198113207547166</v>
      </c>
      <c r="T13" s="3">
        <f t="shared" ref="T13:V13" si="9">(U7*100)/$P$9</f>
        <v>23.473584905660374</v>
      </c>
      <c r="U13" s="3">
        <f t="shared" si="9"/>
        <v>5.9320754716981128</v>
      </c>
      <c r="V13" s="3">
        <f t="shared" si="9"/>
        <v>1.4915094339622641</v>
      </c>
      <c r="W13" s="3">
        <v>0</v>
      </c>
      <c r="X13" s="3">
        <v>0</v>
      </c>
      <c r="Y13" s="3">
        <v>0</v>
      </c>
    </row>
    <row r="14" spans="1:26" x14ac:dyDescent="0.25">
      <c r="A14" s="3"/>
      <c r="B14" s="3">
        <f>(C8*100)/$C$9</f>
        <v>104.09742200374271</v>
      </c>
      <c r="C14" s="3">
        <f t="shared" si="5"/>
        <v>93.098343714213897</v>
      </c>
      <c r="D14" s="3">
        <f t="shared" si="5"/>
        <v>92.500628438957634</v>
      </c>
      <c r="E14" s="3">
        <f t="shared" si="5"/>
        <v>89.162919308437836</v>
      </c>
      <c r="F14" s="3">
        <f t="shared" si="5"/>
        <v>86.47878669385247</v>
      </c>
      <c r="G14" s="3">
        <f t="shared" si="5"/>
        <v>83.856101444013078</v>
      </c>
      <c r="H14" s="3">
        <f t="shared" si="5"/>
        <v>76.124905734156357</v>
      </c>
      <c r="I14" s="3">
        <f t="shared" si="5"/>
        <v>54.07368097645449</v>
      </c>
      <c r="J14" s="3">
        <v>0</v>
      </c>
      <c r="K14" s="3">
        <v>0</v>
      </c>
      <c r="L14" s="3">
        <v>0</v>
      </c>
      <c r="N14" s="3"/>
      <c r="O14" s="3">
        <f t="shared" si="7"/>
        <v>103.08679245283018</v>
      </c>
      <c r="P14" s="3">
        <f t="shared" si="7"/>
        <v>93.475471698113196</v>
      </c>
      <c r="Q14" s="3">
        <f t="shared" si="7"/>
        <v>90.577358490566027</v>
      </c>
      <c r="R14" s="3">
        <f t="shared" si="7"/>
        <v>87.220754716981119</v>
      </c>
      <c r="S14" s="3">
        <f t="shared" ref="S14" si="10">(T8*100)/$P$9</f>
        <v>62.10849056603773</v>
      </c>
      <c r="T14" s="3">
        <f t="shared" ref="T14:V14" si="11">(U8*100)/$P$9</f>
        <v>19.599056603773583</v>
      </c>
      <c r="U14" s="3">
        <f t="shared" si="11"/>
        <v>7.1179245283018862</v>
      </c>
      <c r="V14" s="3">
        <f t="shared" si="11"/>
        <v>2.6773584905660375</v>
      </c>
      <c r="W14" s="3">
        <v>0</v>
      </c>
      <c r="X14" s="3">
        <v>0</v>
      </c>
      <c r="Y14" s="3">
        <v>0</v>
      </c>
    </row>
    <row r="15" spans="1:26" x14ac:dyDescent="0.25">
      <c r="A15" s="3"/>
      <c r="B15" s="67">
        <f t="shared" ref="B15:I15" si="12">AVERAGE(B12:B14)</f>
        <v>100</v>
      </c>
      <c r="C15" s="67">
        <f t="shared" si="12"/>
        <v>92.394492081669128</v>
      </c>
      <c r="D15" s="67">
        <f t="shared" si="12"/>
        <v>90.271764935899228</v>
      </c>
      <c r="E15" s="67">
        <f t="shared" si="12"/>
        <v>87.077432989786701</v>
      </c>
      <c r="F15" s="67">
        <f t="shared" si="12"/>
        <v>85.33363125995028</v>
      </c>
      <c r="G15" s="67">
        <f t="shared" si="12"/>
        <v>82.607602714856299</v>
      </c>
      <c r="H15" s="67">
        <f t="shared" si="12"/>
        <v>78.630282378571636</v>
      </c>
      <c r="I15" s="67">
        <f t="shared" si="12"/>
        <v>53.016041486281409</v>
      </c>
      <c r="J15" s="67">
        <v>0</v>
      </c>
      <c r="K15" s="67">
        <v>0</v>
      </c>
      <c r="L15" s="67">
        <v>0</v>
      </c>
      <c r="N15" s="3"/>
      <c r="O15" s="2">
        <f>AVERAGE(O12:O14)</f>
        <v>100</v>
      </c>
      <c r="P15" s="2">
        <f t="shared" ref="P15:V15" si="13">AVERAGE(P12:P14)</f>
        <v>93.374528301886798</v>
      </c>
      <c r="Q15" s="2">
        <f t="shared" si="13"/>
        <v>89.866037735849048</v>
      </c>
      <c r="R15" s="2">
        <f t="shared" si="13"/>
        <v>84.035849056603766</v>
      </c>
      <c r="S15" s="2">
        <f t="shared" si="13"/>
        <v>59.191509433962267</v>
      </c>
      <c r="T15" s="2">
        <f t="shared" si="13"/>
        <v>20.818867924528298</v>
      </c>
      <c r="U15" s="2">
        <f t="shared" si="13"/>
        <v>6.2349056603773576</v>
      </c>
      <c r="V15" s="2">
        <f t="shared" si="13"/>
        <v>2.2292452830188676</v>
      </c>
      <c r="W15" s="2">
        <v>0</v>
      </c>
      <c r="X15" s="2">
        <v>0</v>
      </c>
      <c r="Y15" s="2">
        <v>0</v>
      </c>
    </row>
    <row r="21" spans="1:26" x14ac:dyDescent="0.25">
      <c r="B21" s="2" t="s">
        <v>308</v>
      </c>
      <c r="C21" s="2" t="s">
        <v>309</v>
      </c>
      <c r="D21" s="2" t="s">
        <v>0</v>
      </c>
      <c r="E21" s="2" t="s">
        <v>1</v>
      </c>
      <c r="F21" s="2" t="s">
        <v>2</v>
      </c>
      <c r="G21" s="2" t="s">
        <v>3</v>
      </c>
      <c r="H21" s="2" t="s">
        <v>4</v>
      </c>
      <c r="I21" s="2" t="s">
        <v>5</v>
      </c>
      <c r="J21" s="2" t="s">
        <v>6</v>
      </c>
      <c r="K21" s="2" t="s">
        <v>7</v>
      </c>
      <c r="L21" s="2" t="s">
        <v>8</v>
      </c>
      <c r="M21" s="2" t="s">
        <v>9</v>
      </c>
      <c r="N21" s="3"/>
      <c r="O21" s="2" t="s">
        <v>308</v>
      </c>
      <c r="P21" s="2" t="s">
        <v>309</v>
      </c>
      <c r="Q21" s="2" t="s">
        <v>64</v>
      </c>
      <c r="R21" s="2" t="s">
        <v>65</v>
      </c>
      <c r="S21" s="2" t="s">
        <v>66</v>
      </c>
      <c r="T21" s="2" t="s">
        <v>67</v>
      </c>
      <c r="U21" s="2" t="s">
        <v>10</v>
      </c>
      <c r="V21" s="2" t="s">
        <v>68</v>
      </c>
      <c r="W21" s="2" t="s">
        <v>11</v>
      </c>
      <c r="X21" s="2" t="s">
        <v>12</v>
      </c>
      <c r="Y21" s="2" t="s">
        <v>69</v>
      </c>
      <c r="Z21" s="2" t="s">
        <v>14</v>
      </c>
    </row>
    <row r="22" spans="1:26" x14ac:dyDescent="0.25">
      <c r="A22" s="1" t="s">
        <v>18</v>
      </c>
      <c r="B22" s="3">
        <v>1017</v>
      </c>
      <c r="C22" s="3">
        <v>35639</v>
      </c>
      <c r="D22" s="3">
        <v>34024</v>
      </c>
      <c r="E22" s="3">
        <v>34408</v>
      </c>
      <c r="F22" s="3">
        <v>33828</v>
      </c>
      <c r="G22" s="3">
        <v>32053</v>
      </c>
      <c r="H22" s="3">
        <v>31926</v>
      </c>
      <c r="I22" s="3">
        <v>29466</v>
      </c>
      <c r="J22" s="3">
        <v>27389</v>
      </c>
      <c r="K22" s="3">
        <v>24042</v>
      </c>
      <c r="L22" s="3">
        <v>2142</v>
      </c>
      <c r="M22" s="3">
        <v>1009</v>
      </c>
      <c r="N22" s="68" t="s">
        <v>19</v>
      </c>
      <c r="O22" s="3">
        <v>1044</v>
      </c>
      <c r="P22" s="3">
        <v>35427</v>
      </c>
      <c r="Q22" s="3">
        <v>32411</v>
      </c>
      <c r="R22" s="3">
        <v>30598</v>
      </c>
      <c r="S22" s="3">
        <v>29226</v>
      </c>
      <c r="T22" s="3">
        <v>27766</v>
      </c>
      <c r="U22" s="3">
        <v>12921</v>
      </c>
      <c r="V22" s="3">
        <v>5716</v>
      </c>
      <c r="W22" s="3">
        <v>2088</v>
      </c>
      <c r="X22" s="3">
        <v>2062</v>
      </c>
      <c r="Y22" s="3">
        <v>1090</v>
      </c>
      <c r="Z22" s="3">
        <v>196</v>
      </c>
    </row>
    <row r="23" spans="1:26" x14ac:dyDescent="0.25">
      <c r="B23" s="3">
        <v>1007</v>
      </c>
      <c r="C23" s="3">
        <v>35635</v>
      </c>
      <c r="D23" s="3">
        <v>35450</v>
      </c>
      <c r="E23" s="3">
        <v>34290</v>
      </c>
      <c r="F23" s="3">
        <v>33545</v>
      </c>
      <c r="G23" s="3">
        <v>32345</v>
      </c>
      <c r="H23" s="3">
        <v>32273</v>
      </c>
      <c r="I23" s="3">
        <v>29999</v>
      </c>
      <c r="J23" s="3">
        <v>27260</v>
      </c>
      <c r="K23" s="3">
        <v>24419</v>
      </c>
      <c r="L23" s="3">
        <v>2139</v>
      </c>
      <c r="M23" s="3">
        <v>1000</v>
      </c>
      <c r="N23" s="3"/>
      <c r="O23" s="3">
        <v>1013</v>
      </c>
      <c r="P23" s="3">
        <v>34737</v>
      </c>
      <c r="Q23" s="3">
        <v>32333</v>
      </c>
      <c r="R23" s="3">
        <v>31390</v>
      </c>
      <c r="S23" s="3">
        <v>29569</v>
      </c>
      <c r="T23" s="3">
        <v>27063</v>
      </c>
      <c r="U23" s="3">
        <v>11029</v>
      </c>
      <c r="V23" s="3">
        <v>5384</v>
      </c>
      <c r="W23" s="3">
        <v>2036</v>
      </c>
      <c r="X23" s="3">
        <v>1931</v>
      </c>
      <c r="Y23" s="3">
        <v>1049</v>
      </c>
      <c r="Z23" s="3">
        <v>175</v>
      </c>
    </row>
    <row r="24" spans="1:26" x14ac:dyDescent="0.25">
      <c r="B24" s="3">
        <v>1129</v>
      </c>
      <c r="C24" s="3">
        <v>35647</v>
      </c>
      <c r="D24" s="3">
        <v>35314</v>
      </c>
      <c r="E24" s="3">
        <v>34963</v>
      </c>
      <c r="F24" s="3">
        <v>33671</v>
      </c>
      <c r="G24" s="3">
        <v>32370</v>
      </c>
      <c r="H24" s="3">
        <v>32098</v>
      </c>
      <c r="I24" s="3">
        <v>30174</v>
      </c>
      <c r="J24" s="3">
        <v>27360</v>
      </c>
      <c r="K24" s="3">
        <v>24250</v>
      </c>
      <c r="L24" s="3">
        <v>1993</v>
      </c>
      <c r="M24" s="3">
        <v>1105</v>
      </c>
      <c r="N24" s="3"/>
      <c r="O24" s="3">
        <v>1075</v>
      </c>
      <c r="P24" s="3">
        <v>35830</v>
      </c>
      <c r="Q24" s="3">
        <v>34321</v>
      </c>
      <c r="R24" s="3">
        <v>34414</v>
      </c>
      <c r="S24" s="3">
        <v>32018</v>
      </c>
      <c r="T24" s="3">
        <v>30203</v>
      </c>
      <c r="U24" s="3">
        <v>15268</v>
      </c>
      <c r="V24" s="3">
        <v>5704</v>
      </c>
      <c r="W24" s="3">
        <v>2150</v>
      </c>
      <c r="X24" s="3">
        <v>2015</v>
      </c>
      <c r="Y24" s="3">
        <v>1110</v>
      </c>
      <c r="Z24" s="3">
        <v>248</v>
      </c>
    </row>
    <row r="25" spans="1:26" x14ac:dyDescent="0.25">
      <c r="A25" t="s">
        <v>17</v>
      </c>
      <c r="B25" s="3">
        <f>AVERAGE(B22:B24)</f>
        <v>1051</v>
      </c>
      <c r="C25" s="3">
        <f t="shared" ref="C25:M25" si="14">AVERAGE(C22:C24)</f>
        <v>35640.333333333336</v>
      </c>
      <c r="D25" s="3">
        <f t="shared" si="14"/>
        <v>34929.333333333336</v>
      </c>
      <c r="E25" s="3">
        <f t="shared" si="14"/>
        <v>34553.666666666664</v>
      </c>
      <c r="F25" s="3">
        <f t="shared" si="14"/>
        <v>33681.333333333336</v>
      </c>
      <c r="G25" s="3">
        <f t="shared" si="14"/>
        <v>32256</v>
      </c>
      <c r="H25" s="3">
        <f t="shared" si="14"/>
        <v>32099</v>
      </c>
      <c r="I25" s="3">
        <f t="shared" si="14"/>
        <v>29879.666666666668</v>
      </c>
      <c r="J25" s="3">
        <f t="shared" si="14"/>
        <v>27336.333333333332</v>
      </c>
      <c r="K25" s="3">
        <f t="shared" si="14"/>
        <v>24237</v>
      </c>
      <c r="L25" s="3">
        <f t="shared" si="14"/>
        <v>2091.3333333333335</v>
      </c>
      <c r="M25" s="3">
        <f t="shared" si="14"/>
        <v>1038</v>
      </c>
      <c r="N25" s="3" t="s">
        <v>17</v>
      </c>
      <c r="O25" s="3">
        <f>AVERAGE(O22:O24)</f>
        <v>1044</v>
      </c>
      <c r="P25" s="3">
        <f t="shared" ref="P25:Z25" si="15">AVERAGE(P22:P24)</f>
        <v>35331.333333333336</v>
      </c>
      <c r="Q25" s="3">
        <f t="shared" si="15"/>
        <v>33021.666666666664</v>
      </c>
      <c r="R25" s="3">
        <f t="shared" si="15"/>
        <v>32134</v>
      </c>
      <c r="S25" s="3">
        <f t="shared" si="15"/>
        <v>30271</v>
      </c>
      <c r="T25" s="3">
        <f t="shared" si="15"/>
        <v>28344</v>
      </c>
      <c r="U25" s="3">
        <f t="shared" si="15"/>
        <v>13072.666666666666</v>
      </c>
      <c r="V25" s="3">
        <f t="shared" si="15"/>
        <v>5601.333333333333</v>
      </c>
      <c r="W25" s="3">
        <f t="shared" si="15"/>
        <v>2091.3333333333335</v>
      </c>
      <c r="X25" s="3">
        <f t="shared" si="15"/>
        <v>2002.6666666666667</v>
      </c>
      <c r="Y25" s="3">
        <f t="shared" si="15"/>
        <v>1083</v>
      </c>
      <c r="Z25" s="3">
        <f t="shared" si="15"/>
        <v>206.33333333333334</v>
      </c>
    </row>
    <row r="26" spans="1:26" x14ac:dyDescent="0.25">
      <c r="B26" s="3"/>
      <c r="C26" s="3">
        <f>C22-B22</f>
        <v>34622</v>
      </c>
      <c r="D26" s="3">
        <f>D22-B22</f>
        <v>33007</v>
      </c>
      <c r="E26" s="3">
        <f>E22-B22</f>
        <v>33391</v>
      </c>
      <c r="F26" s="3">
        <f>F22-B22</f>
        <v>32811</v>
      </c>
      <c r="G26" s="3">
        <f>G22-B22</f>
        <v>31036</v>
      </c>
      <c r="H26" s="3">
        <f>H22-B22</f>
        <v>30909</v>
      </c>
      <c r="I26" s="3">
        <f>I22-B22</f>
        <v>28449</v>
      </c>
      <c r="J26" s="3">
        <f>J22-B22</f>
        <v>26372</v>
      </c>
      <c r="K26" s="3">
        <f>K22-B22</f>
        <v>23025</v>
      </c>
      <c r="L26" s="3">
        <f>L22-B22</f>
        <v>1125</v>
      </c>
      <c r="M26" s="3">
        <v>0</v>
      </c>
      <c r="N26" s="3" t="s">
        <v>19</v>
      </c>
      <c r="O26" s="9"/>
      <c r="P26" s="9">
        <f>P22-O22</f>
        <v>34383</v>
      </c>
      <c r="Q26" s="9">
        <f>Q22-O22</f>
        <v>31367</v>
      </c>
      <c r="R26" s="9">
        <f>R22-O22</f>
        <v>29554</v>
      </c>
      <c r="S26" s="9">
        <f>S22-O22</f>
        <v>28182</v>
      </c>
      <c r="T26" s="9">
        <f>T22-O22</f>
        <v>26722</v>
      </c>
      <c r="U26" s="9">
        <f>U22-O22</f>
        <v>11877</v>
      </c>
      <c r="V26" s="9">
        <f>V22-O22</f>
        <v>4672</v>
      </c>
      <c r="W26" s="9">
        <f>W22-O22</f>
        <v>1044</v>
      </c>
      <c r="X26" s="9">
        <f>X22-O22</f>
        <v>1018</v>
      </c>
      <c r="Y26" s="9">
        <f>Y22-O22</f>
        <v>46</v>
      </c>
      <c r="Z26" s="9">
        <v>0</v>
      </c>
    </row>
    <row r="27" spans="1:26" x14ac:dyDescent="0.25">
      <c r="B27" s="3"/>
      <c r="C27" s="3">
        <f>C23-B23</f>
        <v>34628</v>
      </c>
      <c r="D27" s="3">
        <f>D23-B23</f>
        <v>34443</v>
      </c>
      <c r="E27" s="3">
        <f>E23-B23</f>
        <v>33283</v>
      </c>
      <c r="F27" s="3">
        <f>F23-B23</f>
        <v>32538</v>
      </c>
      <c r="G27" s="3">
        <f>G23-B23</f>
        <v>31338</v>
      </c>
      <c r="H27" s="3">
        <f>H23-B23</f>
        <v>31266</v>
      </c>
      <c r="I27" s="3">
        <f>I23-B23</f>
        <v>28992</v>
      </c>
      <c r="J27" s="3">
        <f>J23-B23</f>
        <v>26253</v>
      </c>
      <c r="K27" s="3">
        <f>K23-B23</f>
        <v>23412</v>
      </c>
      <c r="L27" s="3">
        <f>L23-B23</f>
        <v>1132</v>
      </c>
      <c r="M27" s="3">
        <v>0</v>
      </c>
      <c r="N27" s="3"/>
      <c r="O27" s="3"/>
      <c r="P27" s="9">
        <f>P23-O23</f>
        <v>33724</v>
      </c>
      <c r="Q27" s="9">
        <f>Q23-O23</f>
        <v>31320</v>
      </c>
      <c r="R27" s="9">
        <f>R23-O23</f>
        <v>30377</v>
      </c>
      <c r="S27" s="9">
        <f>S23-O23</f>
        <v>28556</v>
      </c>
      <c r="T27" s="9">
        <f>T23-O23</f>
        <v>26050</v>
      </c>
      <c r="U27" s="9">
        <f>U23-O23</f>
        <v>10016</v>
      </c>
      <c r="V27" s="9">
        <f>V23-O23</f>
        <v>4371</v>
      </c>
      <c r="W27" s="9">
        <f t="shared" ref="W27:W28" si="16">W23-O23</f>
        <v>1023</v>
      </c>
      <c r="X27" s="9">
        <f>X23-O23</f>
        <v>918</v>
      </c>
      <c r="Y27" s="9">
        <f>Y23-O23</f>
        <v>36</v>
      </c>
      <c r="Z27" s="9">
        <v>0</v>
      </c>
    </row>
    <row r="28" spans="1:26" x14ac:dyDescent="0.25">
      <c r="B28" s="3"/>
      <c r="C28" s="3">
        <f>C24-B24</f>
        <v>34518</v>
      </c>
      <c r="D28" s="3">
        <f>D24-B24</f>
        <v>34185</v>
      </c>
      <c r="E28" s="3">
        <f>E24-B24</f>
        <v>33834</v>
      </c>
      <c r="F28" s="3">
        <f>F24-B24</f>
        <v>32542</v>
      </c>
      <c r="G28" s="3">
        <f>G24-B24</f>
        <v>31241</v>
      </c>
      <c r="H28" s="3">
        <f>H24-B24</f>
        <v>30969</v>
      </c>
      <c r="I28" s="3">
        <f>I24-B24</f>
        <v>29045</v>
      </c>
      <c r="J28" s="3">
        <f>J24-B24</f>
        <v>26231</v>
      </c>
      <c r="K28" s="3">
        <f>K24-B24</f>
        <v>23121</v>
      </c>
      <c r="L28" s="3">
        <f>L24-B24</f>
        <v>864</v>
      </c>
      <c r="M28" s="3">
        <v>0</v>
      </c>
      <c r="N28" s="3"/>
      <c r="O28" s="3"/>
      <c r="P28" s="3">
        <f>P24-O24</f>
        <v>34755</v>
      </c>
      <c r="Q28" s="3">
        <f>Q24-O24</f>
        <v>33246</v>
      </c>
      <c r="R28" s="3">
        <f>R24-O24</f>
        <v>33339</v>
      </c>
      <c r="S28" s="3">
        <f>S24-O24</f>
        <v>30943</v>
      </c>
      <c r="T28" s="3">
        <f>T24-O24</f>
        <v>29128</v>
      </c>
      <c r="U28" s="3">
        <f>U24-O24</f>
        <v>14193</v>
      </c>
      <c r="V28" s="3">
        <f>V24-O24</f>
        <v>4629</v>
      </c>
      <c r="W28" s="3">
        <f t="shared" si="16"/>
        <v>1075</v>
      </c>
      <c r="X28" s="3">
        <f>X24-O24</f>
        <v>940</v>
      </c>
      <c r="Y28" s="3">
        <f>Y24-O24</f>
        <v>35</v>
      </c>
      <c r="Z28" s="3">
        <v>0</v>
      </c>
    </row>
    <row r="29" spans="1:26" x14ac:dyDescent="0.25">
      <c r="B29" s="3"/>
      <c r="C29" s="3">
        <f>AVERAGE(C26:C28)</f>
        <v>34589.333333333336</v>
      </c>
      <c r="D29" s="3">
        <f t="shared" ref="D29:M29" si="17">AVERAGE(D26:D28)</f>
        <v>33878.333333333336</v>
      </c>
      <c r="E29" s="3">
        <f t="shared" si="17"/>
        <v>33502.666666666664</v>
      </c>
      <c r="F29" s="3">
        <f t="shared" si="17"/>
        <v>32630.333333333332</v>
      </c>
      <c r="G29" s="3">
        <f t="shared" si="17"/>
        <v>31205</v>
      </c>
      <c r="H29" s="3">
        <f t="shared" si="17"/>
        <v>31048</v>
      </c>
      <c r="I29" s="3">
        <f t="shared" si="17"/>
        <v>28828.666666666668</v>
      </c>
      <c r="J29" s="3">
        <f t="shared" si="17"/>
        <v>26285.333333333332</v>
      </c>
      <c r="K29" s="3">
        <f t="shared" si="17"/>
        <v>23186</v>
      </c>
      <c r="L29" s="3">
        <f t="shared" si="17"/>
        <v>1040.3333333333333</v>
      </c>
      <c r="M29" s="3">
        <f t="shared" si="17"/>
        <v>0</v>
      </c>
      <c r="N29" s="3"/>
      <c r="O29" s="3"/>
      <c r="P29" s="3">
        <f>AVERAGE(P26:P28)</f>
        <v>34287.333333333336</v>
      </c>
      <c r="Q29" s="3">
        <f t="shared" ref="Q29:Z29" si="18">AVERAGE(Q26:Q28)</f>
        <v>31977.666666666668</v>
      </c>
      <c r="R29" s="3">
        <f t="shared" si="18"/>
        <v>31090</v>
      </c>
      <c r="S29" s="3">
        <f t="shared" si="18"/>
        <v>29227</v>
      </c>
      <c r="T29" s="3">
        <f t="shared" si="18"/>
        <v>27300</v>
      </c>
      <c r="U29" s="3">
        <f t="shared" si="18"/>
        <v>12028.666666666666</v>
      </c>
      <c r="V29" s="3">
        <f t="shared" si="18"/>
        <v>4557.333333333333</v>
      </c>
      <c r="W29" s="3">
        <f t="shared" si="18"/>
        <v>1047.3333333333333</v>
      </c>
      <c r="X29" s="3">
        <f t="shared" si="18"/>
        <v>958.66666666666663</v>
      </c>
      <c r="Y29" s="3">
        <f t="shared" si="18"/>
        <v>39</v>
      </c>
      <c r="Z29" s="3">
        <f t="shared" si="18"/>
        <v>0</v>
      </c>
    </row>
    <row r="31" spans="1:26" x14ac:dyDescent="0.25">
      <c r="A31" s="3"/>
      <c r="B31" s="2" t="s">
        <v>309</v>
      </c>
      <c r="C31" s="2" t="s">
        <v>0</v>
      </c>
      <c r="D31" s="2" t="s">
        <v>1</v>
      </c>
      <c r="E31" s="2" t="s">
        <v>2</v>
      </c>
      <c r="F31" s="2" t="s">
        <v>3</v>
      </c>
      <c r="G31" s="2" t="s">
        <v>4</v>
      </c>
      <c r="H31" s="2" t="s">
        <v>5</v>
      </c>
      <c r="I31" s="2" t="s">
        <v>6</v>
      </c>
      <c r="J31" s="2" t="s">
        <v>7</v>
      </c>
      <c r="K31" s="2" t="s">
        <v>8</v>
      </c>
      <c r="L31" s="2" t="s">
        <v>9</v>
      </c>
      <c r="N31" s="3"/>
      <c r="O31" s="2" t="s">
        <v>309</v>
      </c>
      <c r="P31" s="2" t="s">
        <v>64</v>
      </c>
      <c r="Q31" s="2" t="s">
        <v>65</v>
      </c>
      <c r="R31" s="2" t="s">
        <v>66</v>
      </c>
      <c r="S31" s="2" t="s">
        <v>67</v>
      </c>
      <c r="T31" s="2" t="s">
        <v>10</v>
      </c>
      <c r="U31" s="2" t="s">
        <v>68</v>
      </c>
      <c r="V31" s="2" t="s">
        <v>11</v>
      </c>
      <c r="W31" s="2" t="s">
        <v>12</v>
      </c>
      <c r="X31" s="2" t="s">
        <v>13</v>
      </c>
      <c r="Y31" s="2" t="s">
        <v>14</v>
      </c>
    </row>
    <row r="32" spans="1:26" x14ac:dyDescent="0.25">
      <c r="A32" s="8" t="s">
        <v>18</v>
      </c>
      <c r="B32" s="3">
        <f t="shared" ref="B32:L34" si="19">(C26*100)/$C$29</f>
        <v>100.09444144630328</v>
      </c>
      <c r="C32" s="3">
        <f t="shared" si="19"/>
        <v>95.425371983655836</v>
      </c>
      <c r="D32" s="3">
        <f t="shared" si="19"/>
        <v>96.535540821833308</v>
      </c>
      <c r="E32" s="3">
        <f t="shared" si="19"/>
        <v>94.858723305836094</v>
      </c>
      <c r="F32" s="3">
        <f t="shared" si="19"/>
        <v>89.72708349394803</v>
      </c>
      <c r="G32" s="3">
        <f t="shared" si="19"/>
        <v>89.3599182792383</v>
      </c>
      <c r="H32" s="3">
        <f t="shared" si="19"/>
        <v>82.247899159663859</v>
      </c>
      <c r="I32" s="3">
        <f t="shared" si="19"/>
        <v>76.243157813584148</v>
      </c>
      <c r="J32" s="3">
        <f t="shared" si="19"/>
        <v>66.56676432040706</v>
      </c>
      <c r="K32" s="3">
        <f t="shared" si="19"/>
        <v>3.2524477680980648</v>
      </c>
      <c r="L32" s="3">
        <v>0</v>
      </c>
      <c r="N32" s="68" t="s">
        <v>19</v>
      </c>
      <c r="O32" s="3">
        <f t="shared" ref="O32:X34" si="20">(P26*100)/$P$29</f>
        <v>100.27901460208822</v>
      </c>
      <c r="P32" s="3">
        <f t="shared" si="20"/>
        <v>91.482763313954607</v>
      </c>
      <c r="Q32" s="3">
        <f t="shared" si="20"/>
        <v>86.195096342672699</v>
      </c>
      <c r="R32" s="3">
        <f t="shared" si="20"/>
        <v>82.193618634675573</v>
      </c>
      <c r="S32" s="3">
        <f t="shared" si="20"/>
        <v>77.935486379809831</v>
      </c>
      <c r="T32" s="3">
        <f t="shared" si="20"/>
        <v>34.639614240438647</v>
      </c>
      <c r="U32" s="3">
        <f t="shared" si="20"/>
        <v>13.626023215570374</v>
      </c>
      <c r="V32" s="3">
        <f t="shared" si="20"/>
        <v>3.0448562151231746</v>
      </c>
      <c r="W32" s="3">
        <f t="shared" si="20"/>
        <v>2.9690264626392642</v>
      </c>
      <c r="X32" s="3">
        <f t="shared" si="20"/>
        <v>0.13416033131768776</v>
      </c>
      <c r="Y32" s="3">
        <v>0</v>
      </c>
    </row>
    <row r="33" spans="1:25" x14ac:dyDescent="0.25">
      <c r="A33" s="3"/>
      <c r="B33" s="3">
        <f t="shared" si="19"/>
        <v>100.11178783439981</v>
      </c>
      <c r="C33" s="3">
        <f t="shared" si="19"/>
        <v>99.576940868090347</v>
      </c>
      <c r="D33" s="3">
        <f t="shared" si="19"/>
        <v>96.223305836095903</v>
      </c>
      <c r="E33" s="3">
        <f t="shared" si="19"/>
        <v>94.069462647444297</v>
      </c>
      <c r="F33" s="3">
        <f t="shared" si="19"/>
        <v>90.600185028139691</v>
      </c>
      <c r="G33" s="3">
        <f t="shared" si="19"/>
        <v>90.392028370981407</v>
      </c>
      <c r="H33" s="3">
        <f t="shared" si="19"/>
        <v>83.817747282399196</v>
      </c>
      <c r="I33" s="3">
        <f t="shared" si="19"/>
        <v>75.899121116336431</v>
      </c>
      <c r="J33" s="3">
        <f t="shared" si="19"/>
        <v>67.685606352632789</v>
      </c>
      <c r="K33" s="3">
        <f t="shared" si="19"/>
        <v>3.2726852208773414</v>
      </c>
      <c r="L33" s="3">
        <v>0</v>
      </c>
      <c r="N33" s="3"/>
      <c r="O33" s="3">
        <f>(P27*100)/$P$29</f>
        <v>98.357022029515264</v>
      </c>
      <c r="P33" s="3">
        <f t="shared" si="20"/>
        <v>91.345686453695237</v>
      </c>
      <c r="Q33" s="3">
        <f t="shared" si="20"/>
        <v>88.595399661682634</v>
      </c>
      <c r="R33" s="3">
        <f t="shared" si="20"/>
        <v>83.284400458867211</v>
      </c>
      <c r="S33" s="3">
        <f t="shared" si="20"/>
        <v>75.975578930994914</v>
      </c>
      <c r="T33" s="3">
        <f t="shared" si="20"/>
        <v>29.211953879955665</v>
      </c>
      <c r="U33" s="3">
        <f t="shared" si="20"/>
        <v>12.748148004122026</v>
      </c>
      <c r="V33" s="3">
        <f t="shared" si="20"/>
        <v>2.9836091073477085</v>
      </c>
      <c r="W33" s="3">
        <f t="shared" si="20"/>
        <v>2.6773735684703777</v>
      </c>
      <c r="X33" s="3">
        <f t="shared" si="20"/>
        <v>0.10499504190079913</v>
      </c>
      <c r="Y33" s="3">
        <v>0</v>
      </c>
    </row>
    <row r="34" spans="1:25" x14ac:dyDescent="0.25">
      <c r="A34" s="3"/>
      <c r="B34" s="3">
        <f t="shared" si="19"/>
        <v>99.793770719296887</v>
      </c>
      <c r="C34" s="3">
        <f t="shared" si="19"/>
        <v>98.831046179939861</v>
      </c>
      <c r="D34" s="3">
        <f t="shared" si="19"/>
        <v>97.816282476293267</v>
      </c>
      <c r="E34" s="3">
        <f t="shared" si="19"/>
        <v>94.08102690617531</v>
      </c>
      <c r="F34" s="3">
        <f t="shared" si="19"/>
        <v>90.31975175391257</v>
      </c>
      <c r="G34" s="3">
        <f t="shared" si="19"/>
        <v>89.53338216020353</v>
      </c>
      <c r="H34" s="3">
        <f t="shared" si="19"/>
        <v>83.970973710585142</v>
      </c>
      <c r="I34" s="3">
        <f t="shared" si="19"/>
        <v>75.83551769331585</v>
      </c>
      <c r="J34" s="3">
        <f t="shared" si="19"/>
        <v>66.844306529951425</v>
      </c>
      <c r="K34" s="3">
        <f t="shared" si="19"/>
        <v>2.4978798858993136</v>
      </c>
      <c r="L34" s="3">
        <f t="shared" si="19"/>
        <v>0</v>
      </c>
      <c r="N34" s="3"/>
      <c r="O34" s="3">
        <f>(P28*100)/$P$29</f>
        <v>101.36396336839648</v>
      </c>
      <c r="P34" s="3">
        <f t="shared" si="20"/>
        <v>96.962921195387992</v>
      </c>
      <c r="Q34" s="3">
        <f t="shared" si="20"/>
        <v>97.234158386965049</v>
      </c>
      <c r="R34" s="3">
        <f t="shared" si="20"/>
        <v>90.246155042678538</v>
      </c>
      <c r="S34" s="3">
        <f t="shared" si="20"/>
        <v>84.952655013513251</v>
      </c>
      <c r="T34" s="3">
        <f t="shared" si="20"/>
        <v>41.394295269390057</v>
      </c>
      <c r="U34" s="3">
        <f t="shared" si="20"/>
        <v>13.500612471077753</v>
      </c>
      <c r="V34" s="3">
        <f t="shared" si="20"/>
        <v>3.1352686123155293</v>
      </c>
      <c r="W34" s="3">
        <f t="shared" si="20"/>
        <v>2.7415372051875324</v>
      </c>
      <c r="X34" s="3">
        <f t="shared" si="20"/>
        <v>0.10207851295911026</v>
      </c>
      <c r="Y34" s="3">
        <v>0</v>
      </c>
    </row>
    <row r="35" spans="1:25" x14ac:dyDescent="0.25">
      <c r="A35" s="3"/>
      <c r="B35" s="2">
        <f>AVERAGE(B32:B34)</f>
        <v>100</v>
      </c>
      <c r="C35" s="2">
        <f t="shared" ref="C35:L35" si="21">AVERAGE(C32:C34)</f>
        <v>97.944453010562015</v>
      </c>
      <c r="D35" s="2">
        <f t="shared" si="21"/>
        <v>96.858376378074169</v>
      </c>
      <c r="E35" s="2">
        <f t="shared" si="21"/>
        <v>94.336404286485234</v>
      </c>
      <c r="F35" s="2">
        <f t="shared" si="21"/>
        <v>90.215673425333421</v>
      </c>
      <c r="G35" s="2">
        <f t="shared" si="21"/>
        <v>89.761776270141084</v>
      </c>
      <c r="H35" s="2">
        <f t="shared" si="21"/>
        <v>83.345540050882732</v>
      </c>
      <c r="I35" s="2">
        <f t="shared" si="21"/>
        <v>75.992598874412138</v>
      </c>
      <c r="J35" s="2">
        <f t="shared" si="21"/>
        <v>67.032225734330424</v>
      </c>
      <c r="K35" s="2">
        <f t="shared" si="21"/>
        <v>3.0076709582915733</v>
      </c>
      <c r="L35" s="2">
        <f t="shared" si="21"/>
        <v>0</v>
      </c>
      <c r="N35" s="3"/>
      <c r="O35" s="2">
        <f>AVERAGE(O32:O34)</f>
        <v>99.999999999999986</v>
      </c>
      <c r="P35" s="2">
        <f>AVERAGE(P32:P34)</f>
        <v>93.263790321012607</v>
      </c>
      <c r="Q35" s="2">
        <f t="shared" ref="Q35:X35" si="22">AVERAGE(Q32:Q34)</f>
        <v>90.674884797106799</v>
      </c>
      <c r="R35" s="2">
        <f t="shared" si="22"/>
        <v>85.241391378740445</v>
      </c>
      <c r="S35" s="2">
        <f t="shared" si="22"/>
        <v>79.621240108106008</v>
      </c>
      <c r="T35" s="2">
        <f t="shared" si="22"/>
        <v>35.081954463261461</v>
      </c>
      <c r="U35" s="2">
        <f t="shared" si="22"/>
        <v>13.291594563590051</v>
      </c>
      <c r="V35" s="2">
        <f t="shared" si="22"/>
        <v>3.0545779782621376</v>
      </c>
      <c r="W35" s="2">
        <f t="shared" si="22"/>
        <v>2.795979078765725</v>
      </c>
      <c r="X35" s="2">
        <f t="shared" si="22"/>
        <v>0.11374462872586572</v>
      </c>
      <c r="Y35" s="2">
        <v>0</v>
      </c>
    </row>
    <row r="40" spans="1:25" x14ac:dyDescent="0.25">
      <c r="A40" s="3"/>
      <c r="B40" s="2" t="s">
        <v>308</v>
      </c>
      <c r="C40" s="2" t="s">
        <v>309</v>
      </c>
      <c r="D40" s="2" t="s">
        <v>70</v>
      </c>
      <c r="E40" s="2" t="s">
        <v>71</v>
      </c>
      <c r="F40" s="2" t="s">
        <v>72</v>
      </c>
      <c r="G40" s="2" t="s">
        <v>73</v>
      </c>
      <c r="H40" s="2" t="s">
        <v>20</v>
      </c>
      <c r="I40" s="2" t="s">
        <v>74</v>
      </c>
      <c r="J40" s="2" t="s">
        <v>21</v>
      </c>
      <c r="K40" s="2" t="s">
        <v>22</v>
      </c>
      <c r="L40" s="2" t="s">
        <v>75</v>
      </c>
      <c r="M40" s="2" t="s">
        <v>23</v>
      </c>
    </row>
    <row r="41" spans="1:25" x14ac:dyDescent="0.25">
      <c r="A41" s="10" t="s">
        <v>24</v>
      </c>
      <c r="B41" s="3">
        <v>1106</v>
      </c>
      <c r="C41" s="3">
        <v>35295</v>
      </c>
      <c r="D41" s="3">
        <v>33502</v>
      </c>
      <c r="E41" s="3">
        <v>32696</v>
      </c>
      <c r="F41" s="3">
        <v>29031</v>
      </c>
      <c r="G41" s="3">
        <v>14553</v>
      </c>
      <c r="H41" s="3">
        <v>6432</v>
      </c>
      <c r="I41" s="3">
        <v>2944</v>
      </c>
      <c r="J41" s="3">
        <v>2713</v>
      </c>
      <c r="K41" s="3">
        <v>2049</v>
      </c>
      <c r="L41" s="3">
        <v>1340</v>
      </c>
      <c r="M41" s="3">
        <v>763</v>
      </c>
    </row>
    <row r="42" spans="1:25" x14ac:dyDescent="0.25">
      <c r="A42" s="3"/>
      <c r="B42" s="3">
        <v>1281</v>
      </c>
      <c r="C42" s="3">
        <v>35412</v>
      </c>
      <c r="D42" s="3">
        <v>33573</v>
      </c>
      <c r="E42" s="3">
        <v>32941</v>
      </c>
      <c r="F42" s="3">
        <v>28058</v>
      </c>
      <c r="G42" s="3">
        <v>14754</v>
      </c>
      <c r="H42" s="3">
        <v>6294</v>
      </c>
      <c r="I42" s="3">
        <v>3084</v>
      </c>
      <c r="J42" s="3">
        <v>2906</v>
      </c>
      <c r="K42" s="3">
        <v>1952</v>
      </c>
      <c r="L42" s="3">
        <v>1524</v>
      </c>
      <c r="M42" s="3">
        <v>271</v>
      </c>
    </row>
    <row r="43" spans="1:25" x14ac:dyDescent="0.25">
      <c r="A43" s="3"/>
      <c r="B43" s="3">
        <v>1157</v>
      </c>
      <c r="C43" s="3">
        <v>35572</v>
      </c>
      <c r="D43" s="3">
        <v>34332</v>
      </c>
      <c r="E43" s="3">
        <v>32546</v>
      </c>
      <c r="F43" s="3">
        <v>29386</v>
      </c>
      <c r="G43" s="3">
        <v>14559</v>
      </c>
      <c r="H43" s="3">
        <v>6735</v>
      </c>
      <c r="I43" s="3">
        <v>2876</v>
      </c>
      <c r="J43" s="3">
        <v>2779</v>
      </c>
      <c r="K43" s="3">
        <v>2202</v>
      </c>
      <c r="L43" s="3">
        <v>1396</v>
      </c>
      <c r="M43" s="3">
        <v>319</v>
      </c>
    </row>
    <row r="44" spans="1:25" x14ac:dyDescent="0.25">
      <c r="A44" s="3" t="s">
        <v>17</v>
      </c>
      <c r="B44" s="3">
        <f>AVERAGE(B41:B43)</f>
        <v>1181.3333333333333</v>
      </c>
      <c r="C44" s="3">
        <f t="shared" ref="C44:M44" si="23">AVERAGE(C41:C43)</f>
        <v>35426.333333333336</v>
      </c>
      <c r="D44" s="3">
        <f t="shared" si="23"/>
        <v>33802.333333333336</v>
      </c>
      <c r="E44" s="3">
        <f t="shared" si="23"/>
        <v>32727.666666666668</v>
      </c>
      <c r="F44" s="3">
        <f t="shared" si="23"/>
        <v>28825</v>
      </c>
      <c r="G44" s="3">
        <f t="shared" si="23"/>
        <v>14622</v>
      </c>
      <c r="H44" s="3">
        <f t="shared" si="23"/>
        <v>6487</v>
      </c>
      <c r="I44" s="3">
        <f>AVERAGE(I41:I43)</f>
        <v>2968</v>
      </c>
      <c r="J44" s="3">
        <f t="shared" si="23"/>
        <v>2799.3333333333335</v>
      </c>
      <c r="K44" s="3">
        <f t="shared" si="23"/>
        <v>2067.6666666666665</v>
      </c>
      <c r="L44" s="3">
        <f t="shared" si="23"/>
        <v>1420</v>
      </c>
      <c r="M44" s="3">
        <f t="shared" si="23"/>
        <v>451</v>
      </c>
    </row>
    <row r="45" spans="1:25" x14ac:dyDescent="0.25">
      <c r="A45" s="3"/>
      <c r="B45" s="3"/>
      <c r="C45" s="3">
        <f>C41-B41</f>
        <v>34189</v>
      </c>
      <c r="D45" s="3">
        <f>D41-B41</f>
        <v>32396</v>
      </c>
      <c r="E45" s="3">
        <f>E41-B41</f>
        <v>31590</v>
      </c>
      <c r="F45" s="3">
        <f>F41-B41</f>
        <v>27925</v>
      </c>
      <c r="G45" s="3">
        <f>G41-B41</f>
        <v>13447</v>
      </c>
      <c r="H45" s="3">
        <f>H41-B41</f>
        <v>5326</v>
      </c>
      <c r="I45" s="3">
        <f>I41-B41</f>
        <v>1838</v>
      </c>
      <c r="J45" s="3">
        <f>J41-B41</f>
        <v>1607</v>
      </c>
      <c r="K45" s="3">
        <f>K41-B41</f>
        <v>943</v>
      </c>
      <c r="L45" s="3">
        <f>L41-B41</f>
        <v>234</v>
      </c>
      <c r="M45" s="3">
        <v>0</v>
      </c>
    </row>
    <row r="46" spans="1:25" x14ac:dyDescent="0.25">
      <c r="A46" s="3"/>
      <c r="B46" s="3"/>
      <c r="C46" s="3">
        <f>C42-B42</f>
        <v>34131</v>
      </c>
      <c r="D46" s="3">
        <f t="shared" ref="D46:D47" si="24">D42-B42</f>
        <v>32292</v>
      </c>
      <c r="E46" s="3">
        <f>E42-B42</f>
        <v>31660</v>
      </c>
      <c r="F46" s="3">
        <f>F42-B42</f>
        <v>26777</v>
      </c>
      <c r="G46" s="3">
        <f>G42-B42</f>
        <v>13473</v>
      </c>
      <c r="H46" s="3">
        <f>H42-B42</f>
        <v>5013</v>
      </c>
      <c r="I46" s="3">
        <f>I42-B42</f>
        <v>1803</v>
      </c>
      <c r="J46" s="3">
        <f>J42-B42</f>
        <v>1625</v>
      </c>
      <c r="K46" s="3">
        <f>K42-B42</f>
        <v>671</v>
      </c>
      <c r="L46" s="3">
        <f>L42-B42</f>
        <v>243</v>
      </c>
      <c r="M46" s="3">
        <v>0</v>
      </c>
    </row>
    <row r="47" spans="1:25" x14ac:dyDescent="0.25">
      <c r="A47" s="3"/>
      <c r="B47" s="3"/>
      <c r="C47" s="3">
        <f>C43-B43</f>
        <v>34415</v>
      </c>
      <c r="D47" s="3">
        <f t="shared" si="24"/>
        <v>33175</v>
      </c>
      <c r="E47" s="3">
        <f>E43-B43</f>
        <v>31389</v>
      </c>
      <c r="F47" s="3">
        <f>F43-B43</f>
        <v>28229</v>
      </c>
      <c r="G47" s="3">
        <f>G43-B43</f>
        <v>13402</v>
      </c>
      <c r="H47" s="3">
        <f>H43-B43</f>
        <v>5578</v>
      </c>
      <c r="I47" s="3">
        <f>I43-B43</f>
        <v>1719</v>
      </c>
      <c r="J47" s="3">
        <f>J43-B43</f>
        <v>1622</v>
      </c>
      <c r="K47" s="3">
        <f>K43-B43</f>
        <v>1045</v>
      </c>
      <c r="L47" s="3">
        <f>L43-B43</f>
        <v>239</v>
      </c>
      <c r="M47" s="3">
        <v>0</v>
      </c>
    </row>
    <row r="48" spans="1:25" x14ac:dyDescent="0.25">
      <c r="A48" s="3"/>
      <c r="B48" s="3"/>
      <c r="C48" s="3">
        <f>AVERAGE(C45:C47)</f>
        <v>34245</v>
      </c>
      <c r="D48" s="3">
        <f t="shared" ref="D48:L48" si="25">AVERAGE(D45:D47)</f>
        <v>32621</v>
      </c>
      <c r="E48" s="3">
        <f t="shared" si="25"/>
        <v>31546.333333333332</v>
      </c>
      <c r="F48" s="3">
        <f t="shared" si="25"/>
        <v>27643.666666666668</v>
      </c>
      <c r="G48" s="3">
        <f t="shared" si="25"/>
        <v>13440.666666666666</v>
      </c>
      <c r="H48" s="3">
        <f t="shared" si="25"/>
        <v>5305.666666666667</v>
      </c>
      <c r="I48" s="3">
        <f t="shared" si="25"/>
        <v>1786.6666666666667</v>
      </c>
      <c r="J48" s="3">
        <f t="shared" si="25"/>
        <v>1618</v>
      </c>
      <c r="K48" s="3">
        <f t="shared" si="25"/>
        <v>886.33333333333337</v>
      </c>
      <c r="L48" s="3">
        <f t="shared" si="25"/>
        <v>238.66666666666666</v>
      </c>
      <c r="M48" s="3">
        <v>0</v>
      </c>
    </row>
    <row r="50" spans="1:13" x14ac:dyDescent="0.25">
      <c r="A50" s="10" t="s">
        <v>24</v>
      </c>
      <c r="B50" s="2"/>
      <c r="C50" s="2" t="s">
        <v>309</v>
      </c>
      <c r="D50" s="2" t="s">
        <v>70</v>
      </c>
      <c r="E50" s="2" t="s">
        <v>71</v>
      </c>
      <c r="F50" s="2" t="s">
        <v>72</v>
      </c>
      <c r="G50" s="2" t="s">
        <v>73</v>
      </c>
      <c r="H50" s="2" t="s">
        <v>20</v>
      </c>
      <c r="I50" s="2" t="s">
        <v>74</v>
      </c>
      <c r="J50" s="2" t="s">
        <v>21</v>
      </c>
      <c r="K50" s="2" t="s">
        <v>22</v>
      </c>
      <c r="L50" s="2" t="s">
        <v>75</v>
      </c>
      <c r="M50" s="2" t="s">
        <v>23</v>
      </c>
    </row>
    <row r="51" spans="1:13" x14ac:dyDescent="0.25">
      <c r="A51" s="3"/>
      <c r="B51" s="3"/>
      <c r="C51" s="3">
        <f>(C45*100)/C48</f>
        <v>99.836472477733977</v>
      </c>
      <c r="D51" s="3">
        <f t="shared" ref="D51:L53" si="26">(D45*100)/$C$48</f>
        <v>94.600671630895022</v>
      </c>
      <c r="E51" s="3">
        <f t="shared" si="26"/>
        <v>92.247043363994749</v>
      </c>
      <c r="F51" s="11">
        <f t="shared" si="26"/>
        <v>81.544751058548698</v>
      </c>
      <c r="G51" s="3">
        <f t="shared" si="26"/>
        <v>39.267046284129073</v>
      </c>
      <c r="H51" s="3">
        <f t="shared" si="26"/>
        <v>15.552635421229377</v>
      </c>
      <c r="I51" s="3">
        <f t="shared" si="26"/>
        <v>5.3672068915170099</v>
      </c>
      <c r="J51" s="3">
        <f t="shared" si="26"/>
        <v>4.6926558621696595</v>
      </c>
      <c r="K51" s="3">
        <f t="shared" si="26"/>
        <v>2.7536866695868012</v>
      </c>
      <c r="L51" s="3">
        <f t="shared" si="26"/>
        <v>0.68331143232588698</v>
      </c>
      <c r="M51" s="3">
        <v>0</v>
      </c>
    </row>
    <row r="52" spans="1:13" x14ac:dyDescent="0.25">
      <c r="A52" s="3"/>
      <c r="B52" s="3"/>
      <c r="C52" s="3">
        <f>(C46*100)/C48</f>
        <v>99.667104686815591</v>
      </c>
      <c r="D52" s="3">
        <f t="shared" si="26"/>
        <v>94.296977660972402</v>
      </c>
      <c r="E52" s="3">
        <f t="shared" si="26"/>
        <v>92.451452766827273</v>
      </c>
      <c r="F52" s="11">
        <f t="shared" si="26"/>
        <v>78.192436852095199</v>
      </c>
      <c r="G52" s="3">
        <f t="shared" si="26"/>
        <v>39.342969776609721</v>
      </c>
      <c r="H52" s="3">
        <f t="shared" si="26"/>
        <v>14.638633377135347</v>
      </c>
      <c r="I52" s="3">
        <f t="shared" si="26"/>
        <v>5.2650021901007449</v>
      </c>
      <c r="J52" s="3">
        <f t="shared" si="26"/>
        <v>4.7452182800408815</v>
      </c>
      <c r="K52" s="3">
        <f t="shared" si="26"/>
        <v>1.9594101328661118</v>
      </c>
      <c r="L52" s="3">
        <f t="shared" si="26"/>
        <v>0.70959264126149801</v>
      </c>
      <c r="M52" s="3">
        <v>0</v>
      </c>
    </row>
    <row r="53" spans="1:13" x14ac:dyDescent="0.25">
      <c r="A53" s="3"/>
      <c r="B53" s="3"/>
      <c r="C53" s="3">
        <f>(C47*100)/C48</f>
        <v>100.49642283545043</v>
      </c>
      <c r="D53" s="3">
        <f t="shared" si="26"/>
        <v>96.875456270988465</v>
      </c>
      <c r="E53" s="3">
        <f t="shared" si="26"/>
        <v>91.660096364432761</v>
      </c>
      <c r="F53" s="11">
        <f t="shared" si="26"/>
        <v>82.432471893707117</v>
      </c>
      <c r="G53" s="3">
        <f t="shared" si="26"/>
        <v>39.135640239451014</v>
      </c>
      <c r="H53" s="3">
        <f t="shared" si="26"/>
        <v>16.288509271426484</v>
      </c>
      <c r="I53" s="3">
        <f t="shared" si="26"/>
        <v>5.0197109067017083</v>
      </c>
      <c r="J53" s="3">
        <f t="shared" si="26"/>
        <v>4.7364578770623451</v>
      </c>
      <c r="K53" s="3">
        <f t="shared" si="26"/>
        <v>3.0515403708570594</v>
      </c>
      <c r="L53" s="3">
        <f t="shared" si="26"/>
        <v>0.69791210395678205</v>
      </c>
      <c r="M53" s="3">
        <v>0</v>
      </c>
    </row>
    <row r="54" spans="1:13" x14ac:dyDescent="0.25">
      <c r="A54" s="3"/>
      <c r="B54" s="3"/>
      <c r="C54" s="2">
        <f>AVERAGE(C51:C53)</f>
        <v>100</v>
      </c>
      <c r="D54" s="2">
        <f t="shared" ref="D54:M54" si="27">AVERAGE(D51:D53)</f>
        <v>95.257701854285301</v>
      </c>
      <c r="E54" s="2">
        <f t="shared" si="27"/>
        <v>92.119530831751604</v>
      </c>
      <c r="F54" s="2">
        <f t="shared" si="27"/>
        <v>80.723219934783671</v>
      </c>
      <c r="G54" s="2">
        <f t="shared" si="27"/>
        <v>39.248552100063272</v>
      </c>
      <c r="H54" s="2">
        <f t="shared" si="27"/>
        <v>15.49325935659707</v>
      </c>
      <c r="I54" s="2">
        <f t="shared" si="27"/>
        <v>5.2173066627731544</v>
      </c>
      <c r="J54" s="2">
        <f t="shared" si="27"/>
        <v>4.7247773397576287</v>
      </c>
      <c r="K54" s="2">
        <f t="shared" si="27"/>
        <v>2.5882123911033244</v>
      </c>
      <c r="L54" s="2">
        <f t="shared" si="27"/>
        <v>0.69693872584805572</v>
      </c>
      <c r="M54" s="2">
        <f t="shared" si="27"/>
        <v>0</v>
      </c>
    </row>
    <row r="57" spans="1:13" x14ac:dyDescent="0.25">
      <c r="A57" s="4"/>
      <c r="B57" s="5" t="s">
        <v>78</v>
      </c>
      <c r="C57" s="2" t="s">
        <v>0</v>
      </c>
      <c r="D57" s="2" t="s">
        <v>1</v>
      </c>
      <c r="E57" s="2" t="s">
        <v>2</v>
      </c>
      <c r="F57" s="2" t="s">
        <v>3</v>
      </c>
      <c r="G57" s="2" t="s">
        <v>4</v>
      </c>
      <c r="H57" s="2" t="s">
        <v>5</v>
      </c>
      <c r="I57" s="2" t="s">
        <v>6</v>
      </c>
      <c r="J57" s="2" t="s">
        <v>7</v>
      </c>
      <c r="K57" s="2" t="s">
        <v>8</v>
      </c>
      <c r="L57" s="2" t="s">
        <v>9</v>
      </c>
    </row>
    <row r="58" spans="1:13" x14ac:dyDescent="0.25">
      <c r="A58" s="69" t="s">
        <v>18</v>
      </c>
      <c r="B58" s="69">
        <v>100</v>
      </c>
      <c r="C58" s="69">
        <v>97.94</v>
      </c>
      <c r="D58" s="69">
        <v>96.85</v>
      </c>
      <c r="E58" s="69">
        <v>94.33</v>
      </c>
      <c r="F58" s="69">
        <v>90.21</v>
      </c>
      <c r="G58" s="69">
        <v>89.76</v>
      </c>
      <c r="H58" s="69">
        <v>83.34</v>
      </c>
      <c r="I58" s="69">
        <v>75.989999999999995</v>
      </c>
      <c r="J58" s="69">
        <v>67.03</v>
      </c>
      <c r="K58" s="69">
        <v>3</v>
      </c>
      <c r="L58" s="69">
        <v>0</v>
      </c>
    </row>
    <row r="59" spans="1:13" x14ac:dyDescent="0.25">
      <c r="A59" s="70" t="s">
        <v>15</v>
      </c>
      <c r="B59" s="70">
        <v>100</v>
      </c>
      <c r="C59" s="70">
        <v>92.39</v>
      </c>
      <c r="D59" s="70">
        <v>90.27</v>
      </c>
      <c r="E59" s="70">
        <v>87.08</v>
      </c>
      <c r="F59" s="70">
        <v>85.33</v>
      </c>
      <c r="G59" s="70">
        <v>82.61</v>
      </c>
      <c r="H59" s="70">
        <v>78.63</v>
      </c>
      <c r="I59" s="70">
        <v>53.02</v>
      </c>
      <c r="J59" s="70">
        <v>0</v>
      </c>
      <c r="K59" s="70">
        <v>0</v>
      </c>
      <c r="L59" s="70">
        <v>0</v>
      </c>
    </row>
    <row r="60" spans="1:13" x14ac:dyDescent="0.25">
      <c r="A60" s="69" t="s">
        <v>76</v>
      </c>
      <c r="B60" s="71">
        <v>0.17</v>
      </c>
      <c r="C60" s="71">
        <v>0.21</v>
      </c>
      <c r="D60" s="71">
        <v>0.84</v>
      </c>
      <c r="E60" s="71">
        <v>0.45</v>
      </c>
      <c r="F60" s="71">
        <v>0.45</v>
      </c>
      <c r="G60" s="71">
        <v>0.55000000000000004</v>
      </c>
      <c r="H60" s="71">
        <v>0.95</v>
      </c>
      <c r="I60" s="71">
        <v>0.21</v>
      </c>
      <c r="J60" s="72">
        <f>STDEV(J32:J34)</f>
        <v>0.58261230144889398</v>
      </c>
      <c r="K60" s="72">
        <f>STDEV(K32:K34)</f>
        <v>0.4416079615925031</v>
      </c>
      <c r="L60" s="72">
        <v>0</v>
      </c>
    </row>
    <row r="61" spans="1:13" x14ac:dyDescent="0.25">
      <c r="A61" s="70" t="s">
        <v>77</v>
      </c>
      <c r="B61" s="73">
        <v>5.14</v>
      </c>
      <c r="C61" s="73">
        <v>2.11</v>
      </c>
      <c r="D61" s="73">
        <v>1.93</v>
      </c>
      <c r="E61" s="73">
        <v>2.5</v>
      </c>
      <c r="F61" s="73">
        <v>1.24</v>
      </c>
      <c r="G61" s="73">
        <v>3.25</v>
      </c>
      <c r="H61" s="73">
        <v>2.9</v>
      </c>
      <c r="I61" s="73">
        <v>1.71</v>
      </c>
      <c r="J61" s="73">
        <v>0</v>
      </c>
      <c r="K61" s="73">
        <v>0</v>
      </c>
      <c r="L61" s="73">
        <v>0</v>
      </c>
    </row>
    <row r="63" spans="1:13" x14ac:dyDescent="0.25">
      <c r="A63" s="4"/>
      <c r="B63" s="5" t="s">
        <v>82</v>
      </c>
      <c r="C63" s="2" t="s">
        <v>64</v>
      </c>
      <c r="D63" s="2" t="s">
        <v>65</v>
      </c>
      <c r="E63" s="2" t="s">
        <v>66</v>
      </c>
      <c r="F63" s="2" t="s">
        <v>67</v>
      </c>
      <c r="G63" s="2" t="s">
        <v>10</v>
      </c>
      <c r="H63" s="2" t="s">
        <v>68</v>
      </c>
      <c r="I63" s="2" t="s">
        <v>11</v>
      </c>
      <c r="J63" s="2" t="s">
        <v>12</v>
      </c>
      <c r="K63" s="2" t="s">
        <v>13</v>
      </c>
      <c r="L63" s="2" t="s">
        <v>14</v>
      </c>
    </row>
    <row r="64" spans="1:13" x14ac:dyDescent="0.25">
      <c r="A64" s="74" t="s">
        <v>24</v>
      </c>
      <c r="B64" s="74">
        <v>100</v>
      </c>
      <c r="C64" s="74">
        <v>95.26</v>
      </c>
      <c r="D64" s="74">
        <v>92.13</v>
      </c>
      <c r="E64" s="74">
        <v>80.709999999999994</v>
      </c>
      <c r="F64" s="74">
        <v>39.24</v>
      </c>
      <c r="G64" s="74">
        <v>15.49</v>
      </c>
      <c r="H64" s="74">
        <v>5.2</v>
      </c>
      <c r="I64" s="74">
        <v>4.72</v>
      </c>
      <c r="J64" s="74">
        <v>2.58</v>
      </c>
      <c r="K64" s="74">
        <v>0.6</v>
      </c>
      <c r="L64" s="74">
        <v>0</v>
      </c>
    </row>
    <row r="65" spans="1:12" x14ac:dyDescent="0.25">
      <c r="A65" s="69" t="s">
        <v>79</v>
      </c>
      <c r="B65" s="69">
        <v>100</v>
      </c>
      <c r="C65" s="69">
        <v>93.26</v>
      </c>
      <c r="D65" s="69">
        <v>90.67</v>
      </c>
      <c r="E65" s="69">
        <v>85.24</v>
      </c>
      <c r="F65" s="69">
        <v>79.62</v>
      </c>
      <c r="G65" s="69">
        <v>35.08</v>
      </c>
      <c r="H65" s="69">
        <v>13.29</v>
      </c>
      <c r="I65" s="69">
        <v>3.05</v>
      </c>
      <c r="J65" s="69">
        <v>2.8</v>
      </c>
      <c r="K65" s="75">
        <v>0.11</v>
      </c>
      <c r="L65" s="69">
        <v>0</v>
      </c>
    </row>
    <row r="66" spans="1:12" x14ac:dyDescent="0.25">
      <c r="A66" s="70" t="s">
        <v>80</v>
      </c>
      <c r="B66" s="70">
        <v>100</v>
      </c>
      <c r="C66" s="70">
        <v>93.37</v>
      </c>
      <c r="D66" s="70">
        <v>89.86</v>
      </c>
      <c r="E66" s="70">
        <v>84.03</v>
      </c>
      <c r="F66" s="70">
        <v>59.1</v>
      </c>
      <c r="G66" s="70">
        <v>20.81</v>
      </c>
      <c r="H66" s="70">
        <v>6.23</v>
      </c>
      <c r="I66" s="70">
        <v>2.2200000000000002</v>
      </c>
      <c r="J66" s="70">
        <v>0</v>
      </c>
      <c r="K66" s="70">
        <v>0</v>
      </c>
      <c r="L66" s="70">
        <v>0</v>
      </c>
    </row>
    <row r="67" spans="1:12" x14ac:dyDescent="0.25">
      <c r="A67" s="74" t="s">
        <v>81</v>
      </c>
      <c r="B67" s="76">
        <v>0.43</v>
      </c>
      <c r="C67" s="76">
        <v>1.4</v>
      </c>
      <c r="D67" s="76">
        <v>0.41</v>
      </c>
      <c r="E67" s="76">
        <v>2.23</v>
      </c>
      <c r="F67" s="76">
        <v>0.1</v>
      </c>
      <c r="G67" s="76">
        <v>0.82</v>
      </c>
      <c r="H67" s="76">
        <v>0.17</v>
      </c>
      <c r="I67" s="76">
        <v>2.9000000000000001E-2</v>
      </c>
      <c r="J67" s="76">
        <v>0.56999999999999995</v>
      </c>
      <c r="K67" s="76">
        <v>0.01</v>
      </c>
      <c r="L67" s="76">
        <v>0</v>
      </c>
    </row>
    <row r="68" spans="1:12" x14ac:dyDescent="0.25">
      <c r="A68" s="69" t="s">
        <v>76</v>
      </c>
      <c r="B68" s="71">
        <v>1.5</v>
      </c>
      <c r="C68" s="71">
        <v>3.2</v>
      </c>
      <c r="D68" s="71">
        <v>5.8</v>
      </c>
      <c r="E68" s="71">
        <v>4.37</v>
      </c>
      <c r="F68" s="71">
        <v>4.72</v>
      </c>
      <c r="G68" s="71">
        <v>6.1</v>
      </c>
      <c r="H68" s="71">
        <v>0.47</v>
      </c>
      <c r="I68" s="71">
        <v>0.08</v>
      </c>
      <c r="J68" s="71">
        <v>0.15</v>
      </c>
      <c r="K68" s="71">
        <v>0</v>
      </c>
      <c r="L68" s="71">
        <v>0</v>
      </c>
    </row>
    <row r="69" spans="1:12" x14ac:dyDescent="0.25">
      <c r="A69" s="70" t="s">
        <v>77</v>
      </c>
      <c r="B69" s="73">
        <v>3.5</v>
      </c>
      <c r="C69" s="73">
        <v>0.79</v>
      </c>
      <c r="D69" s="73">
        <v>0.98</v>
      </c>
      <c r="E69" s="73">
        <v>3.43</v>
      </c>
      <c r="F69" s="73">
        <v>2.58</v>
      </c>
      <c r="G69" s="73">
        <v>2.2999999999999998</v>
      </c>
      <c r="H69" s="73">
        <v>0.77</v>
      </c>
      <c r="I69" s="73">
        <v>0.64</v>
      </c>
      <c r="J69" s="73">
        <v>0</v>
      </c>
      <c r="K69" s="73">
        <v>0</v>
      </c>
      <c r="L69" s="73">
        <v>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B01C2-434A-4B03-995B-0B051B7AA0E9}">
  <dimension ref="A1:BO49"/>
  <sheetViews>
    <sheetView zoomScale="70" zoomScaleNormal="70" workbookViewId="0">
      <selection activeCell="L41" sqref="L41"/>
    </sheetView>
  </sheetViews>
  <sheetFormatPr defaultColWidth="8.85546875" defaultRowHeight="15" x14ac:dyDescent="0.25"/>
  <cols>
    <col min="1" max="16384" width="8.85546875" style="32"/>
  </cols>
  <sheetData>
    <row r="1" spans="1:67" x14ac:dyDescent="0.25">
      <c r="B1" s="32" t="s">
        <v>297</v>
      </c>
      <c r="C1" s="32" t="s">
        <v>298</v>
      </c>
      <c r="D1" s="32" t="s">
        <v>299</v>
      </c>
      <c r="E1" s="32" t="s">
        <v>178</v>
      </c>
      <c r="F1" s="32" t="s">
        <v>179</v>
      </c>
      <c r="G1" s="32" t="s">
        <v>180</v>
      </c>
      <c r="H1" s="32" t="s">
        <v>181</v>
      </c>
      <c r="I1" s="32" t="s">
        <v>182</v>
      </c>
      <c r="J1" s="32" t="s">
        <v>183</v>
      </c>
      <c r="K1" s="93" t="s">
        <v>190</v>
      </c>
      <c r="L1" s="93" t="s">
        <v>191</v>
      </c>
      <c r="M1" s="93" t="s">
        <v>192</v>
      </c>
      <c r="N1" s="93" t="s">
        <v>193</v>
      </c>
      <c r="O1" s="93" t="s">
        <v>194</v>
      </c>
      <c r="P1" s="93" t="s">
        <v>195</v>
      </c>
      <c r="Q1" s="94" t="s">
        <v>196</v>
      </c>
      <c r="R1" s="94" t="s">
        <v>197</v>
      </c>
      <c r="S1" s="94" t="s">
        <v>198</v>
      </c>
      <c r="T1" s="94" t="s">
        <v>199</v>
      </c>
      <c r="U1" s="94" t="s">
        <v>200</v>
      </c>
      <c r="V1" s="94" t="s">
        <v>201</v>
      </c>
      <c r="W1" s="93" t="s">
        <v>214</v>
      </c>
      <c r="X1" s="93" t="s">
        <v>215</v>
      </c>
      <c r="Y1" s="93" t="s">
        <v>216</v>
      </c>
      <c r="Z1" s="93" t="s">
        <v>217</v>
      </c>
      <c r="AA1" s="93" t="s">
        <v>218</v>
      </c>
      <c r="AB1" s="93" t="s">
        <v>219</v>
      </c>
      <c r="AC1" s="93" t="s">
        <v>220</v>
      </c>
      <c r="AD1" s="93" t="s">
        <v>221</v>
      </c>
      <c r="AE1" s="93" t="s">
        <v>222</v>
      </c>
      <c r="AF1" s="93" t="s">
        <v>223</v>
      </c>
      <c r="AG1" s="93" t="s">
        <v>224</v>
      </c>
      <c r="AH1" s="93" t="s">
        <v>225</v>
      </c>
      <c r="AI1" s="94" t="s">
        <v>226</v>
      </c>
      <c r="AJ1" s="94" t="s">
        <v>227</v>
      </c>
      <c r="AK1" s="94" t="s">
        <v>228</v>
      </c>
      <c r="AL1" s="94" t="s">
        <v>229</v>
      </c>
      <c r="AM1" s="94" t="s">
        <v>230</v>
      </c>
      <c r="AN1" s="94" t="s">
        <v>231</v>
      </c>
      <c r="AO1" s="94" t="s">
        <v>232</v>
      </c>
      <c r="AP1" s="94" t="s">
        <v>233</v>
      </c>
      <c r="AQ1" s="94" t="s">
        <v>234</v>
      </c>
      <c r="AR1" s="94" t="s">
        <v>235</v>
      </c>
      <c r="AS1" s="94" t="s">
        <v>236</v>
      </c>
      <c r="AT1" s="94" t="s">
        <v>237</v>
      </c>
    </row>
    <row r="2" spans="1:67" x14ac:dyDescent="0.25">
      <c r="A2" s="50" t="s">
        <v>56</v>
      </c>
      <c r="B2" s="55">
        <v>0.56999999999999995</v>
      </c>
      <c r="C2" s="32">
        <v>0.44</v>
      </c>
      <c r="D2" s="55">
        <v>0.55000000000000004</v>
      </c>
      <c r="E2" s="55">
        <v>0.19</v>
      </c>
      <c r="F2" s="32">
        <v>0.28999999999999998</v>
      </c>
      <c r="G2" s="32">
        <v>0.23</v>
      </c>
      <c r="H2" s="32">
        <v>0.46</v>
      </c>
      <c r="I2" s="55">
        <v>0.48</v>
      </c>
      <c r="J2" s="55">
        <v>0.47</v>
      </c>
      <c r="K2" s="55">
        <v>0.75</v>
      </c>
      <c r="L2" s="32">
        <v>0.36</v>
      </c>
      <c r="M2" s="32">
        <v>0.91</v>
      </c>
      <c r="N2" s="32">
        <v>0.52</v>
      </c>
      <c r="O2" s="55">
        <v>0.39</v>
      </c>
      <c r="P2" s="32">
        <v>0.48</v>
      </c>
      <c r="Q2" s="32">
        <v>0.45</v>
      </c>
      <c r="R2" s="55">
        <v>0.36</v>
      </c>
      <c r="S2" s="32">
        <v>0.41</v>
      </c>
      <c r="T2" s="32">
        <v>0.4</v>
      </c>
      <c r="U2" s="32">
        <v>0.34</v>
      </c>
      <c r="V2" s="42">
        <v>0.37</v>
      </c>
      <c r="W2" s="42">
        <v>0.36</v>
      </c>
      <c r="X2" s="42">
        <v>0.32</v>
      </c>
      <c r="Y2" s="32">
        <v>0.33</v>
      </c>
      <c r="Z2" s="32">
        <v>0.4</v>
      </c>
      <c r="AA2" s="32">
        <v>0.48</v>
      </c>
      <c r="AB2" s="32">
        <v>0.43</v>
      </c>
      <c r="AC2" s="32">
        <v>0.49</v>
      </c>
      <c r="AD2" s="55">
        <v>0.3</v>
      </c>
      <c r="AE2" s="32">
        <v>0.45</v>
      </c>
      <c r="AF2" s="32">
        <v>0.26</v>
      </c>
      <c r="AG2" s="55">
        <v>0.51</v>
      </c>
      <c r="AH2" s="32">
        <v>0.37</v>
      </c>
      <c r="AI2" s="32">
        <v>0.3</v>
      </c>
      <c r="AJ2" s="32">
        <v>0.27</v>
      </c>
      <c r="AK2" s="32">
        <v>0.28999999999999998</v>
      </c>
      <c r="AL2" s="32">
        <v>0.49</v>
      </c>
      <c r="AM2" s="55">
        <v>0.45</v>
      </c>
      <c r="AN2" s="32">
        <v>0.47</v>
      </c>
      <c r="AO2" s="32">
        <v>0.32</v>
      </c>
      <c r="AP2" s="55">
        <v>0.28000000000000003</v>
      </c>
      <c r="AQ2" s="32">
        <v>0.3</v>
      </c>
      <c r="AR2" s="32">
        <v>0.26</v>
      </c>
      <c r="AS2" s="55">
        <v>0.22</v>
      </c>
      <c r="AT2" s="32">
        <v>0.24</v>
      </c>
      <c r="AY2" s="55"/>
      <c r="BA2" s="55"/>
    </row>
    <row r="3" spans="1:67" x14ac:dyDescent="0.25">
      <c r="A3" s="50" t="s">
        <v>57</v>
      </c>
      <c r="B3" s="55">
        <v>1</v>
      </c>
      <c r="C3" s="32">
        <v>0.93</v>
      </c>
      <c r="D3" s="55">
        <v>1</v>
      </c>
      <c r="E3" s="55">
        <v>0.56999999999999995</v>
      </c>
      <c r="F3" s="32">
        <v>0.66</v>
      </c>
      <c r="G3" s="32">
        <v>0.6</v>
      </c>
      <c r="H3" s="32">
        <v>0.77</v>
      </c>
      <c r="I3" s="55">
        <v>0.39</v>
      </c>
      <c r="J3" s="55">
        <v>0.7</v>
      </c>
      <c r="K3" s="55">
        <v>1.24</v>
      </c>
      <c r="L3" s="32">
        <v>0.9</v>
      </c>
      <c r="M3" s="32">
        <v>1.19</v>
      </c>
      <c r="N3" s="32">
        <v>0.49</v>
      </c>
      <c r="O3" s="55">
        <v>1.06</v>
      </c>
      <c r="P3" s="32">
        <v>0.74</v>
      </c>
      <c r="Q3" s="32">
        <v>0.83</v>
      </c>
      <c r="R3" s="55">
        <v>0.54</v>
      </c>
      <c r="S3" s="32">
        <v>0.69</v>
      </c>
      <c r="T3" s="32">
        <v>0.8</v>
      </c>
      <c r="U3" s="32">
        <v>0.4</v>
      </c>
      <c r="V3" s="42">
        <v>0.68</v>
      </c>
      <c r="W3" s="42">
        <v>0.93</v>
      </c>
      <c r="X3" s="42">
        <v>0.98</v>
      </c>
      <c r="Y3" s="32">
        <v>0.97</v>
      </c>
      <c r="Z3" s="32">
        <v>1.47</v>
      </c>
      <c r="AA3" s="32">
        <v>1.24</v>
      </c>
      <c r="AB3" s="32">
        <v>1.39</v>
      </c>
      <c r="AC3" s="32">
        <v>1.51</v>
      </c>
      <c r="AD3" s="55">
        <v>1.1100000000000001</v>
      </c>
      <c r="AE3" s="32">
        <v>1.4</v>
      </c>
      <c r="AF3" s="32">
        <v>0.81</v>
      </c>
      <c r="AG3" s="55">
        <v>1.21</v>
      </c>
      <c r="AH3" s="32">
        <v>1.1000000000000001</v>
      </c>
      <c r="AI3" s="32">
        <v>0.42</v>
      </c>
      <c r="AJ3" s="32">
        <v>0.46</v>
      </c>
      <c r="AK3" s="42">
        <v>0.45</v>
      </c>
      <c r="AL3" s="42">
        <v>0.36</v>
      </c>
      <c r="AM3" s="55">
        <v>0.48</v>
      </c>
      <c r="AN3" s="32">
        <v>0.43</v>
      </c>
      <c r="AO3" s="32">
        <v>0.75</v>
      </c>
      <c r="AP3" s="55">
        <v>0.33</v>
      </c>
      <c r="AQ3" s="32">
        <v>0.5</v>
      </c>
      <c r="AR3" s="32">
        <v>0.67</v>
      </c>
      <c r="AS3" s="55">
        <v>0.27</v>
      </c>
      <c r="AT3" s="32">
        <v>0.5</v>
      </c>
      <c r="AY3" s="55"/>
      <c r="BA3" s="55"/>
    </row>
    <row r="4" spans="1:67" x14ac:dyDescent="0.25">
      <c r="A4" s="50" t="s">
        <v>58</v>
      </c>
      <c r="B4" s="55">
        <v>62.23</v>
      </c>
      <c r="C4" s="32">
        <v>59.36</v>
      </c>
      <c r="D4" s="55">
        <v>61.82</v>
      </c>
      <c r="E4" s="55">
        <v>60</v>
      </c>
      <c r="F4" s="32">
        <v>61.72</v>
      </c>
      <c r="G4" s="32">
        <v>60.99</v>
      </c>
      <c r="H4" s="32">
        <v>61.24</v>
      </c>
      <c r="I4" s="55">
        <v>59.96</v>
      </c>
      <c r="J4" s="55">
        <v>61.04</v>
      </c>
      <c r="K4" s="55">
        <v>68.89</v>
      </c>
      <c r="L4" s="32">
        <v>60.99</v>
      </c>
      <c r="M4" s="32">
        <v>67.91</v>
      </c>
      <c r="N4" s="32">
        <v>59.76</v>
      </c>
      <c r="O4" s="55">
        <v>55.13</v>
      </c>
      <c r="P4" s="32">
        <v>55.43</v>
      </c>
      <c r="Q4" s="32">
        <v>63.76</v>
      </c>
      <c r="R4" s="55">
        <v>63.46</v>
      </c>
      <c r="S4" s="32">
        <v>63.59</v>
      </c>
      <c r="T4" s="32">
        <v>60.99</v>
      </c>
      <c r="U4" s="32">
        <v>60.79</v>
      </c>
      <c r="V4" s="42">
        <v>60.9</v>
      </c>
      <c r="W4" s="42">
        <v>70.8</v>
      </c>
      <c r="X4" s="42">
        <v>70.92</v>
      </c>
      <c r="Y4" s="32">
        <v>70.900000000000006</v>
      </c>
      <c r="Z4" s="32">
        <v>68.48</v>
      </c>
      <c r="AA4" s="32">
        <v>60.56</v>
      </c>
      <c r="AB4" s="32">
        <v>62.2</v>
      </c>
      <c r="AC4" s="32">
        <v>58.54</v>
      </c>
      <c r="AD4" s="55">
        <v>50.62</v>
      </c>
      <c r="AE4" s="32">
        <v>57</v>
      </c>
      <c r="AF4" s="32">
        <v>54.91</v>
      </c>
      <c r="AG4" s="55">
        <v>54.37</v>
      </c>
      <c r="AH4" s="32">
        <v>52</v>
      </c>
      <c r="AI4" s="32">
        <v>62.41</v>
      </c>
      <c r="AJ4" s="32">
        <v>62.91</v>
      </c>
      <c r="AK4" s="32">
        <v>62.72</v>
      </c>
      <c r="AL4" s="32">
        <v>64.87</v>
      </c>
      <c r="AM4" s="32">
        <v>61.36</v>
      </c>
      <c r="AN4" s="32">
        <v>62.7</v>
      </c>
      <c r="AO4" s="32">
        <v>59.11</v>
      </c>
      <c r="AP4" s="32">
        <v>61.96</v>
      </c>
      <c r="AQ4" s="32">
        <v>60.1</v>
      </c>
      <c r="AR4" s="32">
        <v>61.14</v>
      </c>
      <c r="AS4" s="32">
        <v>60.53</v>
      </c>
      <c r="AT4" s="32">
        <v>60.3</v>
      </c>
      <c r="AU4" s="55"/>
      <c r="AW4" s="55"/>
      <c r="AY4" s="55"/>
      <c r="BA4" s="55"/>
      <c r="BC4" s="55"/>
      <c r="BE4" s="55"/>
      <c r="BG4" s="55"/>
      <c r="BI4" s="55"/>
      <c r="BK4" s="55"/>
      <c r="BM4" s="55"/>
      <c r="BO4" s="55"/>
    </row>
    <row r="5" spans="1:67" x14ac:dyDescent="0.25">
      <c r="A5" s="50" t="s">
        <v>59</v>
      </c>
      <c r="B5" s="55">
        <v>34.229999999999997</v>
      </c>
      <c r="C5" s="32">
        <v>35.86</v>
      </c>
      <c r="D5" s="55">
        <v>34.5</v>
      </c>
      <c r="E5" s="55">
        <v>37.090000000000003</v>
      </c>
      <c r="F5" s="32">
        <v>35.01</v>
      </c>
      <c r="G5" s="32">
        <v>36.049999999999997</v>
      </c>
      <c r="H5" s="32">
        <v>35.33</v>
      </c>
      <c r="I5" s="55">
        <v>37.299999999999997</v>
      </c>
      <c r="J5" s="55">
        <v>35.86</v>
      </c>
      <c r="K5" s="55">
        <v>25.67</v>
      </c>
      <c r="L5" s="32">
        <v>33.270000000000003</v>
      </c>
      <c r="M5" s="32">
        <v>31.99</v>
      </c>
      <c r="N5" s="32">
        <v>38.17</v>
      </c>
      <c r="O5" s="55">
        <v>42.55</v>
      </c>
      <c r="P5" s="32">
        <v>39.57</v>
      </c>
      <c r="Q5" s="32">
        <v>32.869999999999997</v>
      </c>
      <c r="R5" s="55">
        <v>33.950000000000003</v>
      </c>
      <c r="S5" s="32">
        <v>33.299999999999997</v>
      </c>
      <c r="T5" s="32">
        <v>35.08</v>
      </c>
      <c r="U5" s="32">
        <v>35.89</v>
      </c>
      <c r="V5" s="42">
        <v>35.200000000000003</v>
      </c>
      <c r="W5" s="42">
        <v>25.83</v>
      </c>
      <c r="X5" s="42">
        <v>28.18</v>
      </c>
      <c r="Y5" s="32">
        <v>26.6</v>
      </c>
      <c r="Z5" s="32">
        <v>29.33</v>
      </c>
      <c r="AA5" s="32">
        <v>30.35</v>
      </c>
      <c r="AB5" s="32">
        <v>29</v>
      </c>
      <c r="AC5" s="32">
        <v>33.82</v>
      </c>
      <c r="AD5" s="55">
        <v>44.35</v>
      </c>
      <c r="AE5" s="32">
        <v>41.3</v>
      </c>
      <c r="AF5" s="32">
        <v>41.27</v>
      </c>
      <c r="AG5" s="55">
        <v>41.89</v>
      </c>
      <c r="AH5" s="32">
        <v>39.909999999999997</v>
      </c>
      <c r="AI5" s="32">
        <v>34.880000000000003</v>
      </c>
      <c r="AJ5" s="32">
        <v>33.770000000000003</v>
      </c>
      <c r="AK5" s="32">
        <v>34.4</v>
      </c>
      <c r="AL5" s="32">
        <v>32.01</v>
      </c>
      <c r="AM5" s="32">
        <v>36.68</v>
      </c>
      <c r="AN5" s="32">
        <v>32.799999999999997</v>
      </c>
      <c r="AO5" s="32">
        <v>37.659999999999997</v>
      </c>
      <c r="AP5" s="32">
        <v>35.65</v>
      </c>
      <c r="AQ5" s="32">
        <v>35.799999999999997</v>
      </c>
      <c r="AR5" s="32">
        <v>34.94</v>
      </c>
      <c r="AS5" s="32">
        <v>36.409999999999997</v>
      </c>
      <c r="AT5" s="32">
        <v>34.72</v>
      </c>
      <c r="AU5" s="55"/>
      <c r="AW5" s="55"/>
      <c r="AY5" s="55"/>
      <c r="BA5" s="55"/>
      <c r="BC5" s="55"/>
      <c r="BE5" s="55"/>
      <c r="BG5" s="55"/>
      <c r="BI5" s="55"/>
      <c r="BK5" s="55"/>
      <c r="BM5" s="55"/>
      <c r="BO5" s="55"/>
    </row>
    <row r="6" spans="1:67" x14ac:dyDescent="0.25">
      <c r="A6" s="50" t="s">
        <v>60</v>
      </c>
      <c r="B6" s="55">
        <v>1.97</v>
      </c>
      <c r="C6" s="32">
        <v>1.89</v>
      </c>
      <c r="D6" s="55">
        <v>2.09</v>
      </c>
      <c r="E6" s="55">
        <v>2.17</v>
      </c>
      <c r="F6" s="32">
        <v>2.23</v>
      </c>
      <c r="G6" s="32">
        <v>2.2000000000000002</v>
      </c>
      <c r="H6" s="32">
        <v>2.2000000000000002</v>
      </c>
      <c r="I6" s="55">
        <v>1.75</v>
      </c>
      <c r="J6" s="55">
        <v>2.14</v>
      </c>
      <c r="K6" s="55">
        <v>1.71</v>
      </c>
      <c r="L6" s="32">
        <v>2.12</v>
      </c>
      <c r="M6" s="32">
        <v>1.9</v>
      </c>
      <c r="N6" s="32">
        <v>2.34</v>
      </c>
      <c r="O6" s="55">
        <v>1.8</v>
      </c>
      <c r="P6" s="32">
        <v>2.2999999999999998</v>
      </c>
      <c r="Q6" s="32">
        <v>2.12</v>
      </c>
      <c r="R6" s="55">
        <v>2.21</v>
      </c>
      <c r="S6" s="32">
        <v>2.1800000000000002</v>
      </c>
      <c r="T6" s="32">
        <v>2.73</v>
      </c>
      <c r="U6" s="32">
        <v>2.8</v>
      </c>
      <c r="V6" s="42">
        <v>2.72</v>
      </c>
      <c r="W6" s="42">
        <v>1.89</v>
      </c>
      <c r="X6" s="42">
        <v>1.83</v>
      </c>
      <c r="Y6" s="32">
        <v>1.85</v>
      </c>
      <c r="Z6" s="32">
        <v>2.3199999999999998</v>
      </c>
      <c r="AA6" s="32">
        <v>2.46</v>
      </c>
      <c r="AB6" s="32">
        <v>2.2999999999999998</v>
      </c>
      <c r="AC6" s="32">
        <v>2.25</v>
      </c>
      <c r="AD6" s="55">
        <v>1.88</v>
      </c>
      <c r="AE6" s="32">
        <v>2.23</v>
      </c>
      <c r="AF6" s="32">
        <v>2.62</v>
      </c>
      <c r="AG6" s="55">
        <v>1.9</v>
      </c>
      <c r="AH6" s="32">
        <v>2.2000000000000002</v>
      </c>
      <c r="AI6" s="32">
        <v>1.89</v>
      </c>
      <c r="AJ6" s="32">
        <v>2.36</v>
      </c>
      <c r="AK6" s="32">
        <v>2.1</v>
      </c>
      <c r="AL6" s="32">
        <v>2.29</v>
      </c>
      <c r="AM6" s="32">
        <v>2.39</v>
      </c>
      <c r="AN6" s="32">
        <v>2.35</v>
      </c>
      <c r="AO6" s="32">
        <v>2.72</v>
      </c>
      <c r="AP6" s="32">
        <v>2.61</v>
      </c>
      <c r="AQ6" s="32">
        <v>2.6</v>
      </c>
      <c r="AR6" s="32">
        <v>3.09</v>
      </c>
      <c r="AS6" s="32">
        <v>2.74</v>
      </c>
      <c r="AT6" s="32">
        <v>2.9</v>
      </c>
      <c r="AU6" s="55"/>
      <c r="AW6" s="55"/>
      <c r="AY6" s="55"/>
      <c r="BA6" s="55"/>
      <c r="BC6" s="55"/>
      <c r="BE6" s="55"/>
      <c r="BG6" s="55"/>
      <c r="BI6" s="55"/>
      <c r="BK6" s="55"/>
      <c r="BM6" s="55"/>
      <c r="BO6" s="55"/>
    </row>
    <row r="9" spans="1:67" x14ac:dyDescent="0.25">
      <c r="B9" s="32" t="s">
        <v>300</v>
      </c>
      <c r="C9" s="32" t="s">
        <v>301</v>
      </c>
      <c r="D9" s="32" t="s">
        <v>302</v>
      </c>
      <c r="E9" s="32" t="s">
        <v>184</v>
      </c>
      <c r="F9" s="32" t="s">
        <v>185</v>
      </c>
      <c r="G9" s="32" t="s">
        <v>186</v>
      </c>
      <c r="H9" s="32" t="s">
        <v>187</v>
      </c>
      <c r="I9" s="32" t="s">
        <v>188</v>
      </c>
      <c r="J9" s="32" t="s">
        <v>189</v>
      </c>
      <c r="K9" s="93" t="s">
        <v>202</v>
      </c>
      <c r="L9" s="93" t="s">
        <v>203</v>
      </c>
      <c r="M9" s="93" t="s">
        <v>204</v>
      </c>
      <c r="N9" s="93" t="s">
        <v>205</v>
      </c>
      <c r="O9" s="93" t="s">
        <v>206</v>
      </c>
      <c r="P9" s="93" t="s">
        <v>207</v>
      </c>
      <c r="Q9" s="94" t="s">
        <v>208</v>
      </c>
      <c r="R9" s="94" t="s">
        <v>209</v>
      </c>
      <c r="S9" s="94" t="s">
        <v>210</v>
      </c>
      <c r="T9" s="94" t="s">
        <v>211</v>
      </c>
      <c r="U9" s="94" t="s">
        <v>212</v>
      </c>
      <c r="V9" s="94" t="s">
        <v>213</v>
      </c>
      <c r="W9" s="93" t="s">
        <v>238</v>
      </c>
      <c r="X9" s="93" t="s">
        <v>239</v>
      </c>
      <c r="Y9" s="93" t="s">
        <v>240</v>
      </c>
      <c r="Z9" s="93" t="s">
        <v>241</v>
      </c>
      <c r="AA9" s="93" t="s">
        <v>242</v>
      </c>
      <c r="AB9" s="93" t="s">
        <v>243</v>
      </c>
      <c r="AC9" s="93" t="s">
        <v>244</v>
      </c>
      <c r="AD9" s="93" t="s">
        <v>245</v>
      </c>
      <c r="AE9" s="93" t="s">
        <v>246</v>
      </c>
      <c r="AF9" s="93" t="s">
        <v>247</v>
      </c>
      <c r="AG9" s="93" t="s">
        <v>248</v>
      </c>
      <c r="AH9" s="93" t="s">
        <v>249</v>
      </c>
      <c r="AI9" s="94" t="s">
        <v>250</v>
      </c>
      <c r="AJ9" s="94" t="s">
        <v>251</v>
      </c>
      <c r="AK9" s="94" t="s">
        <v>252</v>
      </c>
      <c r="AL9" s="94" t="s">
        <v>253</v>
      </c>
      <c r="AM9" s="94" t="s">
        <v>254</v>
      </c>
      <c r="AN9" s="94" t="s">
        <v>255</v>
      </c>
      <c r="AO9" s="94" t="s">
        <v>256</v>
      </c>
      <c r="AP9" s="94" t="s">
        <v>257</v>
      </c>
      <c r="AQ9" s="94" t="s">
        <v>258</v>
      </c>
      <c r="AR9" s="94" t="s">
        <v>259</v>
      </c>
      <c r="AS9" s="94" t="s">
        <v>260</v>
      </c>
      <c r="AT9" s="94" t="s">
        <v>261</v>
      </c>
    </row>
    <row r="10" spans="1:67" x14ac:dyDescent="0.25">
      <c r="A10" s="50" t="s">
        <v>56</v>
      </c>
      <c r="B10" s="32">
        <v>0.13</v>
      </c>
      <c r="C10" s="32">
        <v>0.22</v>
      </c>
      <c r="D10" s="32">
        <v>0.16</v>
      </c>
      <c r="E10" s="32">
        <v>0.26</v>
      </c>
      <c r="F10" s="32">
        <v>0.12</v>
      </c>
      <c r="G10" s="32">
        <v>0.18</v>
      </c>
      <c r="H10" s="32">
        <v>0.32</v>
      </c>
      <c r="I10" s="55">
        <v>0.53</v>
      </c>
      <c r="J10" s="55">
        <v>0.44</v>
      </c>
      <c r="K10" s="55">
        <v>0.33</v>
      </c>
      <c r="L10" s="32">
        <v>0.31</v>
      </c>
      <c r="M10" s="32">
        <v>0.32</v>
      </c>
      <c r="N10" s="32">
        <v>0.35</v>
      </c>
      <c r="O10" s="32">
        <v>0.21</v>
      </c>
      <c r="P10" s="32">
        <v>0.35</v>
      </c>
      <c r="Q10" s="32">
        <v>0.34</v>
      </c>
      <c r="R10" s="32">
        <v>0.25</v>
      </c>
      <c r="S10" s="32">
        <v>0.28000000000000003</v>
      </c>
      <c r="T10" s="32">
        <v>0.33</v>
      </c>
      <c r="U10" s="55">
        <v>0.3</v>
      </c>
      <c r="V10" s="32">
        <v>0.32</v>
      </c>
      <c r="W10" s="32">
        <v>0.37</v>
      </c>
      <c r="X10" s="32">
        <v>0.72</v>
      </c>
      <c r="Y10" s="32">
        <v>0.47</v>
      </c>
      <c r="Z10" s="32">
        <v>0.28999999999999998</v>
      </c>
      <c r="AA10" s="32">
        <v>0.42</v>
      </c>
      <c r="AB10" s="32">
        <v>0.37</v>
      </c>
      <c r="AC10" s="32">
        <v>0.22</v>
      </c>
      <c r="AD10" s="55">
        <v>0.52</v>
      </c>
      <c r="AE10" s="32">
        <v>0.38</v>
      </c>
      <c r="AF10" s="32">
        <v>0.36</v>
      </c>
      <c r="AG10" s="55">
        <v>0.48</v>
      </c>
      <c r="AH10" s="32">
        <v>0.43</v>
      </c>
      <c r="AI10" s="32">
        <v>0.17</v>
      </c>
      <c r="AJ10" s="32">
        <v>0.23</v>
      </c>
      <c r="AK10" s="32">
        <v>0.21</v>
      </c>
      <c r="AL10" s="32">
        <v>0.2</v>
      </c>
      <c r="AM10" s="32">
        <v>0.17</v>
      </c>
      <c r="AN10" s="32">
        <v>0.18</v>
      </c>
      <c r="AO10" s="32">
        <v>0.16</v>
      </c>
      <c r="AP10" s="32">
        <v>0.11</v>
      </c>
      <c r="AQ10" s="32">
        <v>0.15</v>
      </c>
      <c r="AR10" s="32">
        <v>0.34</v>
      </c>
      <c r="AS10" s="32">
        <v>0.3</v>
      </c>
      <c r="AT10" s="32">
        <v>0.32</v>
      </c>
    </row>
    <row r="11" spans="1:67" x14ac:dyDescent="0.25">
      <c r="A11" s="50" t="s">
        <v>57</v>
      </c>
      <c r="B11" s="32">
        <v>0.34</v>
      </c>
      <c r="C11" s="32">
        <v>0.32</v>
      </c>
      <c r="D11" s="32">
        <v>0.33</v>
      </c>
      <c r="E11" s="32">
        <v>0.52</v>
      </c>
      <c r="F11" s="32">
        <v>0.52</v>
      </c>
      <c r="G11" s="32">
        <v>0.51</v>
      </c>
      <c r="H11" s="32">
        <v>0.45</v>
      </c>
      <c r="I11" s="55">
        <v>0.72</v>
      </c>
      <c r="J11" s="55">
        <v>0.53</v>
      </c>
      <c r="K11" s="55">
        <v>0.89</v>
      </c>
      <c r="L11" s="32">
        <v>0.6</v>
      </c>
      <c r="M11" s="32">
        <v>0.73</v>
      </c>
      <c r="N11" s="32">
        <v>1.1299999999999999</v>
      </c>
      <c r="O11" s="32">
        <v>0.85</v>
      </c>
      <c r="P11" s="32">
        <v>0.9</v>
      </c>
      <c r="Q11" s="32">
        <v>0.88</v>
      </c>
      <c r="R11" s="55">
        <v>0.75</v>
      </c>
      <c r="S11" s="32">
        <v>0.82</v>
      </c>
      <c r="T11" s="32">
        <v>0.85</v>
      </c>
      <c r="U11" s="55">
        <v>0.66</v>
      </c>
      <c r="V11" s="32">
        <v>0.78</v>
      </c>
      <c r="W11" s="32">
        <v>0.69</v>
      </c>
      <c r="X11" s="32">
        <v>0.72</v>
      </c>
      <c r="Y11" s="32">
        <v>0.71</v>
      </c>
      <c r="Z11" s="32">
        <v>0.81</v>
      </c>
      <c r="AA11" s="32">
        <v>0.79</v>
      </c>
      <c r="AB11" s="32">
        <v>0.8</v>
      </c>
      <c r="AC11" s="32">
        <v>0.93</v>
      </c>
      <c r="AD11" s="55">
        <v>1.01</v>
      </c>
      <c r="AE11" s="32">
        <v>0.96</v>
      </c>
      <c r="AF11" s="32">
        <v>0.81</v>
      </c>
      <c r="AG11" s="55">
        <v>0.98</v>
      </c>
      <c r="AH11" s="32">
        <v>0.92</v>
      </c>
      <c r="AI11" s="32">
        <v>0.39</v>
      </c>
      <c r="AJ11" s="32">
        <v>0.4</v>
      </c>
      <c r="AK11" s="32">
        <v>0.4</v>
      </c>
      <c r="AL11" s="32">
        <v>0.59</v>
      </c>
      <c r="AM11" s="32">
        <v>0.45</v>
      </c>
      <c r="AN11" s="32">
        <v>0.53</v>
      </c>
      <c r="AO11" s="32">
        <v>0.51</v>
      </c>
      <c r="AP11" s="32">
        <v>0.56000000000000005</v>
      </c>
      <c r="AQ11" s="32">
        <v>0.54</v>
      </c>
      <c r="AR11" s="32">
        <v>0.51</v>
      </c>
      <c r="AS11" s="32">
        <v>0.48</v>
      </c>
      <c r="AT11" s="32">
        <v>0.5</v>
      </c>
    </row>
    <row r="12" spans="1:67" x14ac:dyDescent="0.25">
      <c r="A12" s="50" t="s">
        <v>58</v>
      </c>
      <c r="B12" s="32">
        <v>54.54</v>
      </c>
      <c r="C12" s="55">
        <v>57.71</v>
      </c>
      <c r="D12" s="32">
        <v>54.2</v>
      </c>
      <c r="E12" s="32">
        <v>65.86</v>
      </c>
      <c r="F12" s="55">
        <v>55.18</v>
      </c>
      <c r="G12" s="32">
        <v>60.2</v>
      </c>
      <c r="H12" s="32">
        <v>66.78</v>
      </c>
      <c r="I12" s="55">
        <v>56.4</v>
      </c>
      <c r="J12" s="55">
        <v>62</v>
      </c>
      <c r="K12" s="55">
        <v>63.38</v>
      </c>
      <c r="L12" s="55">
        <v>46.75</v>
      </c>
      <c r="M12" s="55">
        <v>56.04</v>
      </c>
      <c r="N12" s="55">
        <v>52.73</v>
      </c>
      <c r="O12" s="32">
        <v>62.83</v>
      </c>
      <c r="P12" s="32">
        <v>56.7</v>
      </c>
      <c r="Q12" s="32">
        <v>59.91</v>
      </c>
      <c r="R12" s="55">
        <v>51.73</v>
      </c>
      <c r="S12" s="32">
        <v>57.1</v>
      </c>
      <c r="T12" s="32">
        <v>60.4</v>
      </c>
      <c r="U12" s="55">
        <v>50.22</v>
      </c>
      <c r="V12" s="32">
        <v>56.2</v>
      </c>
      <c r="W12" s="32">
        <v>63.09</v>
      </c>
      <c r="X12" s="55">
        <v>48.04</v>
      </c>
      <c r="Y12" s="32">
        <v>56.43</v>
      </c>
      <c r="Z12" s="32">
        <v>61.97</v>
      </c>
      <c r="AA12" s="55">
        <v>47.1</v>
      </c>
      <c r="AB12" s="32">
        <v>55.2</v>
      </c>
      <c r="AC12" s="32">
        <v>58.52</v>
      </c>
      <c r="AD12" s="55">
        <v>49.51</v>
      </c>
      <c r="AE12" s="32">
        <v>52.54</v>
      </c>
      <c r="AF12" s="32">
        <v>59.53</v>
      </c>
      <c r="AG12" s="55">
        <v>45.65</v>
      </c>
      <c r="AH12" s="32">
        <v>56.4</v>
      </c>
      <c r="AI12" s="32">
        <v>62.59</v>
      </c>
      <c r="AJ12" s="55">
        <v>52.33</v>
      </c>
      <c r="AK12" s="32">
        <v>54.5</v>
      </c>
      <c r="AL12" s="32">
        <v>59.98</v>
      </c>
      <c r="AM12" s="55">
        <v>51.79</v>
      </c>
      <c r="AN12" s="32">
        <v>56.7</v>
      </c>
      <c r="AO12" s="32">
        <v>59.67</v>
      </c>
      <c r="AP12" s="55">
        <v>53.22</v>
      </c>
      <c r="AQ12" s="32">
        <v>56.8</v>
      </c>
      <c r="AR12" s="32">
        <v>59.73</v>
      </c>
      <c r="AS12" s="55">
        <v>51.31</v>
      </c>
      <c r="AT12" s="32">
        <v>56.5</v>
      </c>
    </row>
    <row r="13" spans="1:67" x14ac:dyDescent="0.25">
      <c r="A13" s="50" t="s">
        <v>59</v>
      </c>
      <c r="B13" s="32">
        <v>41.7</v>
      </c>
      <c r="C13" s="55">
        <v>39.01</v>
      </c>
      <c r="D13" s="32">
        <v>41.9</v>
      </c>
      <c r="E13" s="32">
        <v>31.55</v>
      </c>
      <c r="F13" s="55">
        <v>41.13</v>
      </c>
      <c r="G13" s="32">
        <v>35.200000000000003</v>
      </c>
      <c r="H13" s="32">
        <v>35.9</v>
      </c>
      <c r="I13" s="55">
        <v>46.05</v>
      </c>
      <c r="J13" s="55">
        <v>38.200000000000003</v>
      </c>
      <c r="K13" s="55">
        <v>32.68</v>
      </c>
      <c r="L13" s="55">
        <v>49.12</v>
      </c>
      <c r="M13" s="55">
        <v>41</v>
      </c>
      <c r="N13" s="55">
        <v>44.98</v>
      </c>
      <c r="O13" s="32">
        <v>33.369999999999997</v>
      </c>
      <c r="P13" s="32">
        <v>39.200000000000003</v>
      </c>
      <c r="Q13" s="32">
        <v>34.78</v>
      </c>
      <c r="R13" s="55">
        <v>43.98</v>
      </c>
      <c r="S13" s="32">
        <v>39.200000000000003</v>
      </c>
      <c r="T13" s="32">
        <v>34.97</v>
      </c>
      <c r="U13" s="55">
        <v>46.28</v>
      </c>
      <c r="V13" s="32">
        <v>41.3</v>
      </c>
      <c r="W13" s="32">
        <v>34.28</v>
      </c>
      <c r="X13" s="55">
        <v>48.76</v>
      </c>
      <c r="Y13" s="32">
        <v>38.200000000000003</v>
      </c>
      <c r="Z13" s="32">
        <v>33.93</v>
      </c>
      <c r="AA13" s="55">
        <v>48.57</v>
      </c>
      <c r="AB13" s="32">
        <v>42.5</v>
      </c>
      <c r="AC13" s="32">
        <v>34.85</v>
      </c>
      <c r="AD13" s="55">
        <v>49.09</v>
      </c>
      <c r="AE13" s="32">
        <v>40.1</v>
      </c>
      <c r="AF13" s="32">
        <v>33.75</v>
      </c>
      <c r="AG13" s="55">
        <v>49.79</v>
      </c>
      <c r="AH13" s="32">
        <v>44</v>
      </c>
      <c r="AI13" s="32">
        <v>33.950000000000003</v>
      </c>
      <c r="AJ13" s="55">
        <v>44.78</v>
      </c>
      <c r="AK13" s="32">
        <v>38.65</v>
      </c>
      <c r="AL13" s="32">
        <v>34.32</v>
      </c>
      <c r="AM13" s="55">
        <v>44.6</v>
      </c>
      <c r="AN13" s="32">
        <v>40.200000000000003</v>
      </c>
      <c r="AO13" s="32">
        <v>34.880000000000003</v>
      </c>
      <c r="AP13" s="55">
        <v>43.88</v>
      </c>
      <c r="AQ13" s="32">
        <v>38.200000000000003</v>
      </c>
      <c r="AR13" s="32">
        <v>34.67</v>
      </c>
      <c r="AS13" s="55">
        <v>45.23</v>
      </c>
      <c r="AT13" s="32">
        <v>42.1</v>
      </c>
    </row>
    <row r="14" spans="1:67" x14ac:dyDescent="0.25">
      <c r="A14" s="50" t="s">
        <v>60</v>
      </c>
      <c r="B14" s="32">
        <v>2.39</v>
      </c>
      <c r="C14" s="55">
        <v>2.39</v>
      </c>
      <c r="D14" s="32">
        <v>2.38</v>
      </c>
      <c r="E14" s="32">
        <v>2.31</v>
      </c>
      <c r="F14" s="55">
        <v>2.2599999999999998</v>
      </c>
      <c r="G14" s="32">
        <v>2.2799999999999998</v>
      </c>
      <c r="H14" s="32">
        <v>2.52</v>
      </c>
      <c r="I14" s="55">
        <v>2.37</v>
      </c>
      <c r="J14" s="55">
        <v>2.46</v>
      </c>
      <c r="K14" s="55">
        <v>2.66</v>
      </c>
      <c r="L14" s="55">
        <v>2.2200000000000002</v>
      </c>
      <c r="M14" s="55">
        <v>2.4</v>
      </c>
      <c r="N14" s="55">
        <v>1.72</v>
      </c>
      <c r="O14" s="32">
        <v>2.8</v>
      </c>
      <c r="P14" s="32">
        <v>2.4</v>
      </c>
      <c r="Q14" s="32">
        <v>2.42</v>
      </c>
      <c r="R14" s="55">
        <v>1.85</v>
      </c>
      <c r="S14" s="32">
        <v>2.1800000000000002</v>
      </c>
      <c r="T14" s="32">
        <v>2.4700000000000002</v>
      </c>
      <c r="U14" s="55">
        <v>2.54</v>
      </c>
      <c r="V14" s="32">
        <v>2.5099999999999998</v>
      </c>
      <c r="W14" s="32">
        <v>2.57</v>
      </c>
      <c r="X14" s="55">
        <v>2.27</v>
      </c>
      <c r="Y14" s="32">
        <v>2.44</v>
      </c>
      <c r="Z14" s="32">
        <v>2.69</v>
      </c>
      <c r="AA14" s="55">
        <v>2.16</v>
      </c>
      <c r="AB14" s="32">
        <v>2.6</v>
      </c>
      <c r="AC14" s="32">
        <v>2.34</v>
      </c>
      <c r="AD14" s="55">
        <v>1.92</v>
      </c>
      <c r="AE14" s="32">
        <v>2.1</v>
      </c>
      <c r="AF14" s="32">
        <v>2.63</v>
      </c>
      <c r="AG14" s="55">
        <v>1.72</v>
      </c>
      <c r="AH14" s="32">
        <v>2.2000000000000002</v>
      </c>
      <c r="AI14" s="32">
        <v>2.7</v>
      </c>
      <c r="AJ14" s="55">
        <v>1.97</v>
      </c>
      <c r="AK14" s="32">
        <v>2.31</v>
      </c>
      <c r="AL14" s="32">
        <v>2.7</v>
      </c>
      <c r="AM14" s="55">
        <v>1.97</v>
      </c>
      <c r="AN14" s="32">
        <v>2.42</v>
      </c>
      <c r="AO14" s="32">
        <v>2.79</v>
      </c>
      <c r="AP14" s="55">
        <v>2.14</v>
      </c>
      <c r="AQ14" s="32">
        <v>2.6</v>
      </c>
      <c r="AR14" s="32">
        <v>2.96</v>
      </c>
      <c r="AS14" s="55">
        <v>2.57</v>
      </c>
      <c r="AT14" s="32">
        <v>2.81</v>
      </c>
    </row>
    <row r="15" spans="1:67" x14ac:dyDescent="0.25">
      <c r="A15"/>
      <c r="B15"/>
      <c r="C15"/>
      <c r="D15"/>
      <c r="E15"/>
      <c r="F15"/>
      <c r="G15"/>
      <c r="H15"/>
      <c r="I15"/>
      <c r="J15"/>
      <c r="K15"/>
    </row>
    <row r="16" spans="1:67" x14ac:dyDescent="0.25">
      <c r="A16"/>
      <c r="B16"/>
      <c r="C16"/>
      <c r="D16"/>
      <c r="E16"/>
      <c r="F16"/>
      <c r="G16"/>
      <c r="H16"/>
      <c r="I16"/>
      <c r="J16"/>
      <c r="K16"/>
    </row>
    <row r="17" spans="1:33" x14ac:dyDescent="0.25">
      <c r="A17" s="50" t="s">
        <v>319</v>
      </c>
      <c r="B17" s="32" t="s">
        <v>303</v>
      </c>
      <c r="C17" s="32" t="s">
        <v>262</v>
      </c>
      <c r="D17" s="32" t="s">
        <v>263</v>
      </c>
      <c r="E17" s="93" t="s">
        <v>264</v>
      </c>
      <c r="F17" s="93" t="s">
        <v>265</v>
      </c>
      <c r="G17" s="94" t="s">
        <v>266</v>
      </c>
      <c r="H17" s="94" t="s">
        <v>268</v>
      </c>
      <c r="I17" s="93" t="s">
        <v>267</v>
      </c>
      <c r="J17" s="93" t="s">
        <v>269</v>
      </c>
      <c r="K17" s="93" t="s">
        <v>270</v>
      </c>
      <c r="L17" s="93" t="s">
        <v>271</v>
      </c>
      <c r="M17" s="94" t="s">
        <v>272</v>
      </c>
      <c r="N17" s="94" t="s">
        <v>273</v>
      </c>
      <c r="O17" s="94" t="s">
        <v>274</v>
      </c>
      <c r="P17" s="94" t="s">
        <v>275</v>
      </c>
      <c r="R17" s="32" t="s">
        <v>31</v>
      </c>
      <c r="S17" s="32" t="s">
        <v>303</v>
      </c>
      <c r="T17" s="32" t="s">
        <v>262</v>
      </c>
      <c r="U17" s="32" t="s">
        <v>263</v>
      </c>
      <c r="V17" s="93" t="s">
        <v>264</v>
      </c>
      <c r="W17" s="93" t="s">
        <v>265</v>
      </c>
      <c r="X17" s="94" t="s">
        <v>266</v>
      </c>
      <c r="Y17" s="94" t="s">
        <v>268</v>
      </c>
      <c r="Z17" s="93" t="s">
        <v>267</v>
      </c>
      <c r="AA17" s="93" t="s">
        <v>269</v>
      </c>
      <c r="AB17" s="93" t="s">
        <v>270</v>
      </c>
      <c r="AC17" s="93" t="s">
        <v>271</v>
      </c>
      <c r="AD17" s="94" t="s">
        <v>272</v>
      </c>
      <c r="AE17" s="94" t="s">
        <v>273</v>
      </c>
      <c r="AF17" s="94" t="s">
        <v>274</v>
      </c>
      <c r="AG17" s="94" t="s">
        <v>275</v>
      </c>
    </row>
    <row r="18" spans="1:33" x14ac:dyDescent="0.25">
      <c r="A18" s="50" t="s">
        <v>56</v>
      </c>
      <c r="B18" s="64" t="e" cm="1">
        <f t="array" aca="1" ref="B18" ca="1">_xludf.Average(B2,C2,D2)</f>
        <v>#NAME?</v>
      </c>
      <c r="C18" s="64" t="e" cm="1">
        <f t="array" aca="1" ref="C18" ca="1">_xludf.Average(E2:G2)</f>
        <v>#NAME?</v>
      </c>
      <c r="D18" s="64" t="e" cm="1">
        <f t="array" aca="1" ref="D18" ca="1">_xludf.Average(H2:J2)</f>
        <v>#NAME?</v>
      </c>
      <c r="E18" s="64" t="e" cm="1">
        <f t="array" aca="1" ref="E18" ca="1">_xludf.Average(K2,L2,M2)</f>
        <v>#NAME?</v>
      </c>
      <c r="F18" s="64" t="e" cm="1">
        <f t="array" aca="1" ref="F18" ca="1">_xludf.Average(N2,O2,P2)</f>
        <v>#NAME?</v>
      </c>
      <c r="G18" s="64" t="e" cm="1">
        <f t="array" aca="1" ref="G18" ca="1">_xludf.Average(Q2:S2)</f>
        <v>#NAME?</v>
      </c>
      <c r="H18" s="64" t="e" cm="1">
        <f t="array" aca="1" ref="H18" ca="1">_xludf.Average(T2:V2)</f>
        <v>#NAME?</v>
      </c>
      <c r="I18" s="64" t="e" cm="1">
        <f t="array" aca="1" ref="I18" ca="1">_xludf.Average(W2:Y2)</f>
        <v>#NAME?</v>
      </c>
      <c r="J18" s="64" t="e" cm="1">
        <f t="array" aca="1" ref="J18" ca="1">_xludf.Average(Z2:AB2)</f>
        <v>#NAME?</v>
      </c>
      <c r="K18" s="64" t="e" cm="1">
        <f t="array" aca="1" ref="K18" ca="1">_xludf.Average(AC2:AE2)</f>
        <v>#NAME?</v>
      </c>
      <c r="L18" s="42" t="e" cm="1">
        <f t="array" aca="1" ref="L18" ca="1">_xludf.Average(AF2:AH2)</f>
        <v>#NAME?</v>
      </c>
      <c r="M18" s="42" t="e" cm="1">
        <f t="array" aca="1" ref="M18" ca="1">_xludf.Average(AI2:AK2)</f>
        <v>#NAME?</v>
      </c>
      <c r="N18" s="42" t="e" cm="1">
        <f t="array" aca="1" ref="N18" ca="1">_xludf.Average(AL2:AN2)</f>
        <v>#NAME?</v>
      </c>
      <c r="O18" s="42" t="e" cm="1">
        <f t="array" aca="1" ref="O18" ca="1">_xludf.Average(AO2,AP2,AQ2)</f>
        <v>#NAME?</v>
      </c>
      <c r="P18" s="42" t="e" cm="1">
        <f t="array" aca="1" ref="P18" ca="1">_xludf.Average(AR2,AS2,AT2)</f>
        <v>#NAME?</v>
      </c>
      <c r="R18" s="32" t="s">
        <v>56</v>
      </c>
      <c r="S18">
        <f>STDEV(B2,C2,D2)</f>
        <v>6.9999999999999715E-2</v>
      </c>
      <c r="T18" s="64">
        <f>STDEV(E2:G2)</f>
        <v>5.0332229568471651E-2</v>
      </c>
      <c r="U18" s="64">
        <f>STDEV(H2:J2)</f>
        <v>9.9999999999999811E-3</v>
      </c>
      <c r="V18" s="64">
        <f>STDEV(K2,M2,L2)</f>
        <v>0.28290163190291656</v>
      </c>
      <c r="W18" s="64">
        <f>STDEV(N2,O2,O2,P2)</f>
        <v>6.5574385243019784E-2</v>
      </c>
      <c r="X18" s="64">
        <f>STDEV(Q2:S2)</f>
        <v>4.5092497528228956E-2</v>
      </c>
      <c r="Y18" s="64">
        <f>STDEV(T2:V2)</f>
        <v>0.03</v>
      </c>
      <c r="Z18" s="64">
        <f>STDEV(W2:Y2)</f>
        <v>2.0816659994661316E-2</v>
      </c>
      <c r="AA18" s="64">
        <f>STDEV(Z2:AB2)</f>
        <v>4.0414518843273781E-2</v>
      </c>
      <c r="AB18" s="64">
        <f>STDEV(AC2:AE2)</f>
        <v>0.10016652800877787</v>
      </c>
      <c r="AC18" s="42">
        <f>STDEV(AF2:AH2)</f>
        <v>0.12529964086141654</v>
      </c>
      <c r="AD18" s="42">
        <f>STDEV(AI2:AK2)</f>
        <v>1.5275252316519449E-2</v>
      </c>
      <c r="AE18" s="42">
        <f>STDEV(AL2:AN2)</f>
        <v>1.999999999999999E-2</v>
      </c>
      <c r="AF18" s="42">
        <f>STDEV(AO2,AP2,AQ2)</f>
        <v>1.999999999999999E-2</v>
      </c>
      <c r="AG18" s="42">
        <f>STDEV(AR2,AS2,AT2)</f>
        <v>2.0000000000000004E-2</v>
      </c>
    </row>
    <row r="19" spans="1:33" x14ac:dyDescent="0.25">
      <c r="A19" s="50" t="s">
        <v>57</v>
      </c>
      <c r="B19" s="64" t="e" cm="1">
        <f t="array" aca="1" ref="B19" ca="1">_xludf.Average(B3,C3,D3)</f>
        <v>#NAME?</v>
      </c>
      <c r="C19" s="64" t="e" cm="1">
        <f t="array" aca="1" ref="C19" ca="1">_xludf.Average(E3:G3)</f>
        <v>#NAME?</v>
      </c>
      <c r="D19" s="64" t="e" cm="1">
        <f t="array" aca="1" ref="D19" ca="1">_xludf.Average(H3:J3)</f>
        <v>#NAME?</v>
      </c>
      <c r="E19" s="64" t="e" cm="1">
        <f t="array" aca="1" ref="E19" ca="1">_xludf.Average(K3,L3,M3)</f>
        <v>#NAME?</v>
      </c>
      <c r="F19" s="64" t="e" cm="1">
        <f t="array" aca="1" ref="F19" ca="1">_xludf.Average(N3,O3,P3)</f>
        <v>#NAME?</v>
      </c>
      <c r="G19" s="64" t="e" cm="1">
        <f t="array" aca="1" ref="G19" ca="1">_xludf.Average(Q3:S3)</f>
        <v>#NAME?</v>
      </c>
      <c r="H19" s="64" t="e" cm="1">
        <f t="array" aca="1" ref="H19" ca="1">_xludf.Average(T3:V3)</f>
        <v>#NAME?</v>
      </c>
      <c r="I19" s="64" t="e" cm="1">
        <f t="array" aca="1" ref="I19" ca="1">_xludf.Average(W3:Y3)</f>
        <v>#NAME?</v>
      </c>
      <c r="J19" s="64" t="e" cm="1">
        <f t="array" aca="1" ref="J19" ca="1">_xludf.Average(Z3:AB3)</f>
        <v>#NAME?</v>
      </c>
      <c r="K19" s="64" t="e" cm="1">
        <f t="array" aca="1" ref="K19" ca="1">_xludf.Average(AC3:AE3)</f>
        <v>#NAME?</v>
      </c>
      <c r="L19" s="42" t="e" cm="1">
        <f t="array" aca="1" ref="L19" ca="1">_xludf.Average(AF3:AH3)</f>
        <v>#NAME?</v>
      </c>
      <c r="M19" s="42" t="e" cm="1">
        <f t="array" aca="1" ref="M19" ca="1">_xludf.Average(AI3:AK3)</f>
        <v>#NAME?</v>
      </c>
      <c r="N19" s="42" t="e" cm="1">
        <f t="array" aca="1" ref="N19" ca="1">_xludf.Average(AL3:AN3)</f>
        <v>#NAME?</v>
      </c>
      <c r="O19" s="42" t="e" cm="1">
        <f t="array" aca="1" ref="O19" ca="1">_xludf.Average(AO3,AP3,AQ3)</f>
        <v>#NAME?</v>
      </c>
      <c r="P19" s="42" t="e" cm="1">
        <f t="array" aca="1" ref="P19" ca="1">_xludf.Average(AR3,AS3,AT3)</f>
        <v>#NAME?</v>
      </c>
      <c r="R19" s="32" t="s">
        <v>57</v>
      </c>
      <c r="S19" s="64">
        <f t="shared" ref="S19:S22" si="0">STDEV(B3,C3,D3)</f>
        <v>4.0414518843273774E-2</v>
      </c>
      <c r="T19" s="64">
        <f t="shared" ref="T19:T22" si="1">STDEV(E3:G3)</f>
        <v>4.5825756949558441E-2</v>
      </c>
      <c r="U19" s="64">
        <f t="shared" ref="U19:U22" si="2">STDEV(H3:J3)</f>
        <v>0.20223748416156642</v>
      </c>
      <c r="V19" s="64">
        <f t="shared" ref="V19:V22" si="3">STDEV(K3,M3,L3)</f>
        <v>0.18357559750685956</v>
      </c>
      <c r="W19" s="64">
        <f t="shared" ref="W19:W22" si="4">STDEV(N3,O3,O3,P3)</f>
        <v>0.27645071893558137</v>
      </c>
      <c r="X19" s="64">
        <f t="shared" ref="X19:X22" si="5">STDEV(Q3:S3)</f>
        <v>0.14502873278538067</v>
      </c>
      <c r="Y19" s="64">
        <f t="shared" ref="Y19:Y22" si="6">STDEV(T3:V3)</f>
        <v>0.20526405757787516</v>
      </c>
      <c r="Z19" s="64">
        <f t="shared" ref="Z19:Z22" si="7">STDEV(W3:Y3)</f>
        <v>2.6457513110645866E-2</v>
      </c>
      <c r="AA19" s="64">
        <f t="shared" ref="AA19:AA22" si="8">STDEV(Z3:AB3)</f>
        <v>0.11676186592091327</v>
      </c>
      <c r="AB19" s="64">
        <f t="shared" ref="AB19:AB22" si="9">STDEV(AC3:AE3)</f>
        <v>0.20663978319772031</v>
      </c>
      <c r="AC19" s="42">
        <f t="shared" ref="AC19:AC22" si="10">STDEV(AF3:AH3)</f>
        <v>0.2066397831977187</v>
      </c>
      <c r="AD19" s="42">
        <f t="shared" ref="AD19:AD22" si="11">STDEV(AI3:AK3)</f>
        <v>2.0816659994661348E-2</v>
      </c>
      <c r="AE19" s="42">
        <f t="shared" ref="AE19:AE22" si="12">STDEV(AL3:AN3)</f>
        <v>6.0277137733416988E-2</v>
      </c>
      <c r="AF19" s="42">
        <f t="shared" ref="AF19:AF22" si="13">STDEV(AO3,AP3,AQ3)</f>
        <v>0.21126602503321079</v>
      </c>
      <c r="AG19" s="42">
        <f t="shared" ref="AG19:AG22" si="14">STDEV(AR3,AS3,AT3)</f>
        <v>0.20074859899884745</v>
      </c>
    </row>
    <row r="20" spans="1:33" x14ac:dyDescent="0.25">
      <c r="A20" s="50" t="s">
        <v>58</v>
      </c>
      <c r="B20" s="64" t="e" cm="1">
        <f t="array" aca="1" ref="B20" ca="1">_xludf.Average(B4,C4,D4)</f>
        <v>#NAME?</v>
      </c>
      <c r="C20" s="64" t="e" cm="1">
        <f t="array" aca="1" ref="C20" ca="1">_xludf.Average(E4:G4)</f>
        <v>#NAME?</v>
      </c>
      <c r="D20" s="64" t="e" cm="1">
        <f t="array" aca="1" ref="D20" ca="1">_xludf.Average(H4:J4)</f>
        <v>#NAME?</v>
      </c>
      <c r="E20" s="64" t="e" cm="1">
        <f t="array" aca="1" ref="E20" ca="1">_xludf.Average(K4,L4,M4)</f>
        <v>#NAME?</v>
      </c>
      <c r="F20" s="64" t="e" cm="1">
        <f t="array" aca="1" ref="F20" ca="1">_xludf.Average(N4,O4,P4)</f>
        <v>#NAME?</v>
      </c>
      <c r="G20" s="64" t="e" cm="1">
        <f t="array" aca="1" ref="G20" ca="1">_xludf.Average(Q4:S4)</f>
        <v>#NAME?</v>
      </c>
      <c r="H20" s="64" t="e" cm="1">
        <f t="array" aca="1" ref="H20" ca="1">_xludf.Average(T4:V4)</f>
        <v>#NAME?</v>
      </c>
      <c r="I20" s="64" t="e" cm="1">
        <f t="array" aca="1" ref="I20" ca="1">_xludf.Average(W4:Y4)</f>
        <v>#NAME?</v>
      </c>
      <c r="J20" s="64" t="e" cm="1">
        <f t="array" aca="1" ref="J20" ca="1">_xludf.Average(Z4:AB4)</f>
        <v>#NAME?</v>
      </c>
      <c r="K20" s="64" t="e" cm="1">
        <f t="array" aca="1" ref="K20" ca="1">_xludf.Average(AC4:AE4)</f>
        <v>#NAME?</v>
      </c>
      <c r="L20" s="42" t="e" cm="1">
        <f t="array" aca="1" ref="L20" ca="1">_xludf.Average(AF4:AH4)</f>
        <v>#NAME?</v>
      </c>
      <c r="M20" s="42" t="e" cm="1">
        <f t="array" aca="1" ref="M20" ca="1">_xludf.Average(AI4:AK4)</f>
        <v>#NAME?</v>
      </c>
      <c r="N20" s="42" t="e" cm="1">
        <f t="array" aca="1" ref="N20" ca="1">_xludf.Average(AL4:AN4)</f>
        <v>#NAME?</v>
      </c>
      <c r="O20" s="42" t="e" cm="1">
        <f t="array" aca="1" ref="O20" ca="1">_xludf.Average(AO4,AP4,AQ4)</f>
        <v>#NAME?</v>
      </c>
      <c r="P20" s="42" t="e" cm="1">
        <f t="array" aca="1" ref="P20" ca="1">_xludf.Average(AR4,AS4,AT4)</f>
        <v>#NAME?</v>
      </c>
      <c r="R20" s="32" t="s">
        <v>58</v>
      </c>
      <c r="S20" s="64">
        <f t="shared" si="0"/>
        <v>1.5522349478520741</v>
      </c>
      <c r="T20" s="64">
        <f t="shared" si="1"/>
        <v>0.86326898087058157</v>
      </c>
      <c r="U20" s="64">
        <f t="shared" si="2"/>
        <v>0.68857340446268578</v>
      </c>
      <c r="V20" s="64">
        <f t="shared" si="3"/>
        <v>4.3061351581203287</v>
      </c>
      <c r="W20" s="64">
        <f t="shared" si="4"/>
        <v>2.2694107164636352</v>
      </c>
      <c r="X20" s="64">
        <f t="shared" si="5"/>
        <v>0.15044378795195518</v>
      </c>
      <c r="Y20" s="64">
        <f t="shared" si="6"/>
        <v>0.10016652800877948</v>
      </c>
      <c r="Z20" s="64">
        <f t="shared" si="7"/>
        <v>6.4291005073289789E-2</v>
      </c>
      <c r="AA20" s="64">
        <f t="shared" si="8"/>
        <v>4.1803987050678959</v>
      </c>
      <c r="AB20" s="64">
        <f t="shared" si="9"/>
        <v>4.1992539019846546</v>
      </c>
      <c r="AC20" s="42">
        <f t="shared" si="10"/>
        <v>1.5479341071247168</v>
      </c>
      <c r="AD20" s="42">
        <f t="shared" si="11"/>
        <v>0.25238858928247943</v>
      </c>
      <c r="AE20" s="42">
        <f t="shared" si="12"/>
        <v>1.7712801397106395</v>
      </c>
      <c r="AF20" s="42">
        <f t="shared" si="13"/>
        <v>1.4469623353771173</v>
      </c>
      <c r="AG20" s="42">
        <f t="shared" si="14"/>
        <v>0.43408908455907347</v>
      </c>
    </row>
    <row r="21" spans="1:33" x14ac:dyDescent="0.25">
      <c r="A21" s="50" t="s">
        <v>59</v>
      </c>
      <c r="B21" s="64" t="e" cm="1">
        <f t="array" aca="1" ref="B21" ca="1">_xludf.Average(B5,C5,D5)</f>
        <v>#NAME?</v>
      </c>
      <c r="C21" s="64" t="e" cm="1">
        <f t="array" aca="1" ref="C21" ca="1">_xludf.Average(E5:G5)</f>
        <v>#NAME?</v>
      </c>
      <c r="D21" s="64" t="e" cm="1">
        <f t="array" aca="1" ref="D21" ca="1">_xludf.Average(H5:J5)</f>
        <v>#NAME?</v>
      </c>
      <c r="E21" s="64" t="e" cm="1">
        <f t="array" aca="1" ref="E21" ca="1">_xludf.Average(K5,L5,M5)</f>
        <v>#NAME?</v>
      </c>
      <c r="F21" s="64" t="e" cm="1">
        <f t="array" aca="1" ref="F21" ca="1">_xludf.Average(N5,O5,P5)</f>
        <v>#NAME?</v>
      </c>
      <c r="G21" s="64" t="e" cm="1">
        <f t="array" aca="1" ref="G21" ca="1">_xludf.Average(Q5:S5)</f>
        <v>#NAME?</v>
      </c>
      <c r="H21" s="64" t="e" cm="1">
        <f t="array" aca="1" ref="H21" ca="1">_xludf.Average(T5:V5)</f>
        <v>#NAME?</v>
      </c>
      <c r="I21" s="64" t="e" cm="1">
        <f t="array" aca="1" ref="I21" ca="1">_xludf.Average(W5:Y5)</f>
        <v>#NAME?</v>
      </c>
      <c r="J21" s="64" t="e" cm="1">
        <f t="array" aca="1" ref="J21" ca="1">_xludf.Average(Z5:AB5)</f>
        <v>#NAME?</v>
      </c>
      <c r="K21" s="64" t="e" cm="1">
        <f t="array" aca="1" ref="K21" ca="1">_xludf.Average(AC5:AE5)</f>
        <v>#NAME?</v>
      </c>
      <c r="L21" s="42" t="e" cm="1">
        <f t="array" aca="1" ref="L21" ca="1">_xludf.Average(AF5:AH5)</f>
        <v>#NAME?</v>
      </c>
      <c r="M21" s="42" t="e" cm="1">
        <f t="array" aca="1" ref="M21" ca="1">_xludf.Average(AI5:AK5)</f>
        <v>#NAME?</v>
      </c>
      <c r="N21" s="42" t="e" cm="1">
        <f t="array" aca="1" ref="N21" ca="1">_xludf.Average(AL5:AN5)</f>
        <v>#NAME?</v>
      </c>
      <c r="O21" s="42" t="e" cm="1">
        <f t="array" aca="1" ref="O21" ca="1">_xludf.Average(AO5,AP5,AQ5)</f>
        <v>#NAME?</v>
      </c>
      <c r="P21" s="42" t="e" cm="1">
        <f t="array" aca="1" ref="P21" ca="1">_xludf.Average(AR5,AS5,AT5)</f>
        <v>#NAME?</v>
      </c>
      <c r="R21" s="32" t="s">
        <v>59</v>
      </c>
      <c r="S21" s="64">
        <f t="shared" si="0"/>
        <v>0.87363226436146169</v>
      </c>
      <c r="T21" s="64">
        <f t="shared" si="1"/>
        <v>1.0400000000000027</v>
      </c>
      <c r="U21" s="64">
        <f t="shared" si="2"/>
        <v>1.0194279441595329</v>
      </c>
      <c r="V21" s="64">
        <f t="shared" si="3"/>
        <v>4.0690047923293982</v>
      </c>
      <c r="W21" s="64">
        <f t="shared" si="4"/>
        <v>2.2001818106692888</v>
      </c>
      <c r="X21" s="64">
        <f t="shared" si="5"/>
        <v>0.54372174256078487</v>
      </c>
      <c r="Y21" s="64">
        <f t="shared" si="6"/>
        <v>0.43714985988788818</v>
      </c>
      <c r="Z21" s="64">
        <f t="shared" si="7"/>
        <v>1.1980400661079751</v>
      </c>
      <c r="AA21" s="64">
        <f t="shared" si="8"/>
        <v>0.70377553239651736</v>
      </c>
      <c r="AB21" s="64">
        <f t="shared" si="9"/>
        <v>5.4180839171549486</v>
      </c>
      <c r="AC21" s="42">
        <f t="shared" si="10"/>
        <v>1.0127849393298354</v>
      </c>
      <c r="AD21" s="42">
        <f t="shared" si="11"/>
        <v>0.55668662638867072</v>
      </c>
      <c r="AE21" s="42">
        <f t="shared" si="12"/>
        <v>2.4995799647140728</v>
      </c>
      <c r="AF21" s="42">
        <f t="shared" si="13"/>
        <v>1.1196874563912906</v>
      </c>
      <c r="AG21" s="42">
        <f t="shared" si="14"/>
        <v>0.91882170921965667</v>
      </c>
    </row>
    <row r="22" spans="1:33" x14ac:dyDescent="0.25">
      <c r="A22" s="50" t="s">
        <v>60</v>
      </c>
      <c r="B22" s="64" t="e" cm="1">
        <f t="array" aca="1" ref="B22" ca="1">_xludf.Average(B6,C6,D6)</f>
        <v>#NAME?</v>
      </c>
      <c r="C22" s="64" t="e" cm="1">
        <f t="array" aca="1" ref="C22" ca="1">_xludf.Average(E6:G6)</f>
        <v>#NAME?</v>
      </c>
      <c r="D22" s="64" t="e" cm="1">
        <f t="array" aca="1" ref="D22" ca="1">_xludf.Average(H6:J6)</f>
        <v>#NAME?</v>
      </c>
      <c r="E22" s="64" t="e" cm="1">
        <f t="array" aca="1" ref="E22" ca="1">_xludf.Average(K6,L6,M6)</f>
        <v>#NAME?</v>
      </c>
      <c r="F22" s="64" t="e" cm="1">
        <f t="array" aca="1" ref="F22" ca="1">_xludf.Average(N6,O6,P6)</f>
        <v>#NAME?</v>
      </c>
      <c r="G22" s="64" t="e" cm="1">
        <f t="array" aca="1" ref="G22" ca="1">_xludf.Average(Q6:S6)</f>
        <v>#NAME?</v>
      </c>
      <c r="H22" s="64" t="e" cm="1">
        <f t="array" aca="1" ref="H22" ca="1">_xludf.Average(T6:V6)</f>
        <v>#NAME?</v>
      </c>
      <c r="I22" s="64" t="e" cm="1">
        <f t="array" aca="1" ref="I22" ca="1">_xludf.Average(W6:Y6)</f>
        <v>#NAME?</v>
      </c>
      <c r="J22" s="64" t="e" cm="1">
        <f t="array" aca="1" ref="J22" ca="1">_xludf.Average(Z6:AB6)</f>
        <v>#NAME?</v>
      </c>
      <c r="K22" s="64" t="e" cm="1">
        <f t="array" aca="1" ref="K22" ca="1">_xludf.Average(AC6:AE6)</f>
        <v>#NAME?</v>
      </c>
      <c r="L22" s="42" t="e" cm="1">
        <f t="array" aca="1" ref="L22" ca="1">_xludf.Average(AF6:AH6)</f>
        <v>#NAME?</v>
      </c>
      <c r="M22" s="42" t="e" cm="1">
        <f t="array" aca="1" ref="M22" ca="1">_xludf.Average(AI6:AK6)</f>
        <v>#NAME?</v>
      </c>
      <c r="N22" s="42" t="e" cm="1">
        <f t="array" aca="1" ref="N22" ca="1">_xludf.Average(AL6:AN6)</f>
        <v>#NAME?</v>
      </c>
      <c r="O22" s="42" t="e" cm="1">
        <f t="array" aca="1" ref="O22" ca="1">_xludf.Average(AO6,AP6,AQ6)</f>
        <v>#NAME?</v>
      </c>
      <c r="P22" s="42" t="e" cm="1">
        <f t="array" aca="1" ref="P22" ca="1">_xludf.Average(AR6,AS6,AT6)</f>
        <v>#NAME?</v>
      </c>
      <c r="R22" s="32" t="s">
        <v>60</v>
      </c>
      <c r="S22" s="64">
        <f t="shared" si="0"/>
        <v>0.1006644591369433</v>
      </c>
      <c r="T22" s="64">
        <f t="shared" si="1"/>
        <v>3.0000000000000027E-2</v>
      </c>
      <c r="U22" s="64">
        <f t="shared" si="2"/>
        <v>0.24433583445741242</v>
      </c>
      <c r="V22" s="64">
        <f t="shared" si="3"/>
        <v>0.20518284528683198</v>
      </c>
      <c r="W22" s="64">
        <f t="shared" si="4"/>
        <v>0.3006659275674603</v>
      </c>
      <c r="X22" s="64">
        <f t="shared" si="5"/>
        <v>4.5825756949558344E-2</v>
      </c>
      <c r="Y22" s="64">
        <f t="shared" si="6"/>
        <v>4.3588989435406567E-2</v>
      </c>
      <c r="Z22" s="64">
        <f t="shared" si="7"/>
        <v>3.0550504633038839E-2</v>
      </c>
      <c r="AA22" s="64">
        <f t="shared" si="8"/>
        <v>8.7177978870813549E-2</v>
      </c>
      <c r="AB22" s="64">
        <f t="shared" si="9"/>
        <v>0.20808652046684817</v>
      </c>
      <c r="AC22" s="42">
        <f t="shared" si="10"/>
        <v>0.3616628264005059</v>
      </c>
      <c r="AD22" s="42">
        <f t="shared" si="11"/>
        <v>0.23544284515213734</v>
      </c>
      <c r="AE22" s="42">
        <f t="shared" si="12"/>
        <v>5.0332229568471713E-2</v>
      </c>
      <c r="AF22" s="42">
        <f t="shared" si="13"/>
        <v>6.6583281184794035E-2</v>
      </c>
      <c r="AG22" s="42">
        <f t="shared" si="14"/>
        <v>0.17521415467935214</v>
      </c>
    </row>
    <row r="23" spans="1:33" x14ac:dyDescent="0.25">
      <c r="A23"/>
      <c r="B23"/>
      <c r="C23"/>
      <c r="D23"/>
      <c r="E23"/>
      <c r="F23"/>
      <c r="G23"/>
      <c r="H23"/>
      <c r="I23"/>
      <c r="J23"/>
      <c r="K23"/>
    </row>
    <row r="24" spans="1:33" x14ac:dyDescent="0.25">
      <c r="A24"/>
      <c r="B24"/>
      <c r="C24"/>
      <c r="D24"/>
      <c r="E24"/>
      <c r="F24"/>
      <c r="G24"/>
      <c r="H24"/>
      <c r="I24"/>
      <c r="J24"/>
      <c r="K24"/>
    </row>
    <row r="25" spans="1:33" x14ac:dyDescent="0.25">
      <c r="A25" s="50" t="s">
        <v>319</v>
      </c>
      <c r="B25" s="32" t="s">
        <v>304</v>
      </c>
      <c r="C25" s="32" t="s">
        <v>276</v>
      </c>
      <c r="D25" s="32" t="s">
        <v>277</v>
      </c>
      <c r="E25" s="93" t="s">
        <v>278</v>
      </c>
      <c r="F25" s="93" t="s">
        <v>279</v>
      </c>
      <c r="G25" s="94" t="s">
        <v>280</v>
      </c>
      <c r="H25" s="94" t="s">
        <v>281</v>
      </c>
      <c r="I25" s="93" t="s">
        <v>282</v>
      </c>
      <c r="J25" s="93" t="s">
        <v>283</v>
      </c>
      <c r="K25" s="93" t="s">
        <v>284</v>
      </c>
      <c r="L25" s="93" t="s">
        <v>285</v>
      </c>
      <c r="M25" s="94" t="s">
        <v>286</v>
      </c>
      <c r="N25" s="94" t="s">
        <v>287</v>
      </c>
      <c r="O25" s="94" t="s">
        <v>288</v>
      </c>
      <c r="P25" s="94" t="s">
        <v>289</v>
      </c>
      <c r="R25" s="32" t="s">
        <v>31</v>
      </c>
      <c r="S25" s="32" t="s">
        <v>304</v>
      </c>
      <c r="T25" s="32" t="s">
        <v>276</v>
      </c>
      <c r="U25" s="32" t="s">
        <v>277</v>
      </c>
      <c r="V25" s="93" t="s">
        <v>278</v>
      </c>
      <c r="W25" s="93" t="s">
        <v>279</v>
      </c>
      <c r="X25" s="94" t="s">
        <v>280</v>
      </c>
      <c r="Y25" s="94" t="s">
        <v>281</v>
      </c>
      <c r="Z25" s="93" t="s">
        <v>282</v>
      </c>
      <c r="AA25" s="93" t="s">
        <v>283</v>
      </c>
      <c r="AB25" s="93" t="s">
        <v>284</v>
      </c>
      <c r="AC25" s="93" t="s">
        <v>285</v>
      </c>
      <c r="AD25" s="94" t="s">
        <v>286</v>
      </c>
      <c r="AE25" s="94" t="s">
        <v>287</v>
      </c>
      <c r="AF25" s="94" t="s">
        <v>288</v>
      </c>
      <c r="AG25" s="94" t="s">
        <v>289</v>
      </c>
    </row>
    <row r="26" spans="1:33" x14ac:dyDescent="0.25">
      <c r="A26" s="50" t="s">
        <v>56</v>
      </c>
      <c r="B26" s="64" t="e" cm="1">
        <f t="array" aca="1" ref="B26" ca="1">_xludf.Average(B10,C10,D10)</f>
        <v>#NAME?</v>
      </c>
      <c r="C26" s="64" t="e" cm="1">
        <f t="array" aca="1" ref="C26" ca="1">_xludf.Average(E10,F10,G10)</f>
        <v>#NAME?</v>
      </c>
      <c r="D26" s="64" t="e" cm="1">
        <f t="array" aca="1" ref="D26" ca="1">_xludf.Average(H10:J10)</f>
        <v>#NAME?</v>
      </c>
      <c r="E26" s="64" t="e" cm="1">
        <f t="array" aca="1" ref="E26" ca="1">_xludf.Average(K10:M10)</f>
        <v>#NAME?</v>
      </c>
      <c r="F26" s="64" t="e" cm="1">
        <f t="array" aca="1" ref="F26" ca="1">_xludf.Average(N10,O10,P10)</f>
        <v>#NAME?</v>
      </c>
      <c r="G26" s="64" t="e" cm="1">
        <f t="array" aca="1" ref="G26" ca="1">_xludf.Average(Q10,R10,S10)</f>
        <v>#NAME?</v>
      </c>
      <c r="H26" s="64" t="e" cm="1">
        <f t="array" aca="1" ref="H26" ca="1">_xludf.Average(T10:V10)</f>
        <v>#NAME?</v>
      </c>
      <c r="I26" s="64" t="e" cm="1">
        <f t="array" aca="1" ref="I26" ca="1">_xludf.Average(W10:Y10)</f>
        <v>#NAME?</v>
      </c>
      <c r="J26" s="64" t="e" cm="1">
        <f t="array" aca="1" ref="J26" ca="1">_xludf.Average(Z10:AB10)</f>
        <v>#NAME?</v>
      </c>
      <c r="K26" s="64" t="e" cm="1">
        <f t="array" aca="1" ref="K26" ca="1">_xludf.Average(AC10:AE10)</f>
        <v>#NAME?</v>
      </c>
      <c r="L26" s="42" t="e" cm="1">
        <f t="array" aca="1" ref="L26" ca="1">_xludf.Average(AF10:AH10)</f>
        <v>#NAME?</v>
      </c>
      <c r="M26" s="42" t="e" cm="1">
        <f t="array" aca="1" ref="M26" ca="1">_xludf.Average(AI10:AK10)</f>
        <v>#NAME?</v>
      </c>
      <c r="N26" s="42" t="e" cm="1">
        <f t="array" aca="1" ref="N26" ca="1">_xludf.Average(AL10:AN10)</f>
        <v>#NAME?</v>
      </c>
      <c r="O26" s="42" t="e" cm="1">
        <f t="array" aca="1" ref="O26" ca="1">_xludf.Average(AO10:AQ10)</f>
        <v>#NAME?</v>
      </c>
      <c r="P26" s="42" t="e" cm="1">
        <f t="array" aca="1" ref="P26" ca="1">_xludf.Average(AR10:AT10)</f>
        <v>#NAME?</v>
      </c>
      <c r="R26" s="32" t="s">
        <v>56</v>
      </c>
      <c r="S26" s="64">
        <f>STDEV(B10,C10,D10)</f>
        <v>4.5825756949558372E-2</v>
      </c>
      <c r="T26" s="64">
        <f>STDEV(E10,F10,G10)</f>
        <v>7.0237691685684861E-2</v>
      </c>
      <c r="U26" s="64">
        <f>STDEV(H10,I10,J10)</f>
        <v>0.10535653752852712</v>
      </c>
      <c r="V26" s="64">
        <f>STDEV(K10:M10)</f>
        <v>1.0000000000000009E-2</v>
      </c>
      <c r="W26" s="64">
        <f>STDEV(O10,N10,P10)</f>
        <v>8.0829037686547617E-2</v>
      </c>
      <c r="X26" s="64">
        <f>STDEV(Q10,R10,S10)</f>
        <v>4.5825756949558302E-2</v>
      </c>
      <c r="Y26" s="64">
        <f>STDEV(T10:V10)</f>
        <v>1.527525231651948E-2</v>
      </c>
      <c r="Z26" s="64">
        <f>STDEV(W10:Y10)</f>
        <v>0.1802775637731997</v>
      </c>
      <c r="AA26" s="64">
        <f>STDEV(Z10:AB10)</f>
        <v>6.5574385243019784E-2</v>
      </c>
      <c r="AB26" s="64">
        <f>STDEV(AC10:AE10)</f>
        <v>0.15011106998930265</v>
      </c>
      <c r="AC26" s="42">
        <f>STDEV(AF10:AH10)</f>
        <v>6.0277137733416988E-2</v>
      </c>
      <c r="AD26" s="42">
        <f>STDEV(AI10:AK10)</f>
        <v>3.0550504633039068E-2</v>
      </c>
      <c r="AE26" s="65">
        <f>STDEV(AL10:AN10)</f>
        <v>1.5275252316519468E-2</v>
      </c>
      <c r="AF26" s="42">
        <f>STDEV(AO10:AQ10)</f>
        <v>2.6457513110645762E-2</v>
      </c>
      <c r="AG26" s="42">
        <f>STDEV(AR10:AT10)</f>
        <v>2.0000000000000018E-2</v>
      </c>
    </row>
    <row r="27" spans="1:33" x14ac:dyDescent="0.25">
      <c r="A27" s="50" t="s">
        <v>57</v>
      </c>
      <c r="B27" s="64" t="e" cm="1">
        <f t="array" aca="1" ref="B27" ca="1">_xludf.Average(B11,C11,D11)</f>
        <v>#NAME?</v>
      </c>
      <c r="C27" s="64" t="e" cm="1">
        <f t="array" aca="1" ref="C27" ca="1">_xludf.Average(E11,F11,G11)</f>
        <v>#NAME?</v>
      </c>
      <c r="D27" s="64" t="e" cm="1">
        <f t="array" aca="1" ref="D27" ca="1">_xludf.Average(H11:J11)</f>
        <v>#NAME?</v>
      </c>
      <c r="E27" s="64" t="e" cm="1">
        <f t="array" aca="1" ref="E27" ca="1">_xludf.Average(K11:M11)</f>
        <v>#NAME?</v>
      </c>
      <c r="F27" s="64" t="e" cm="1">
        <f t="array" aca="1" ref="F27" ca="1">_xludf.Average(N11,O11,P11)</f>
        <v>#NAME?</v>
      </c>
      <c r="G27" s="64" t="e" cm="1">
        <f t="array" aca="1" ref="G27" ca="1">_xludf.Average(Q11,R11,S11)</f>
        <v>#NAME?</v>
      </c>
      <c r="H27" s="64" t="e" cm="1">
        <f t="array" aca="1" ref="H27" ca="1">_xludf.Average(T11:V11)</f>
        <v>#NAME?</v>
      </c>
      <c r="I27" s="64" t="e" cm="1">
        <f t="array" aca="1" ref="I27" ca="1">_xludf.Average(W11:Y11)</f>
        <v>#NAME?</v>
      </c>
      <c r="J27" s="64" t="e" cm="1">
        <f t="array" aca="1" ref="J27" ca="1">_xludf.Average(Z11:AB11)</f>
        <v>#NAME?</v>
      </c>
      <c r="K27" s="64" t="e" cm="1">
        <f t="array" aca="1" ref="K27" ca="1">_xludf.Average(AC11:AE11)</f>
        <v>#NAME?</v>
      </c>
      <c r="L27" s="42" t="e" cm="1">
        <f t="array" aca="1" ref="L27" ca="1">_xludf.Average(AF11:AH11)</f>
        <v>#NAME?</v>
      </c>
      <c r="M27" s="42" t="e" cm="1">
        <f t="array" aca="1" ref="M27" ca="1">_xludf.Average(AI11:AK11)</f>
        <v>#NAME?</v>
      </c>
      <c r="N27" s="42" t="e" cm="1">
        <f t="array" aca="1" ref="N27" ca="1">_xludf.Average(AL11:AN11)</f>
        <v>#NAME?</v>
      </c>
      <c r="O27" s="42" t="e" cm="1">
        <f t="array" aca="1" ref="O27" ca="1">_xludf.Average(AO11:AQ11)</f>
        <v>#NAME?</v>
      </c>
      <c r="P27" s="42" t="e" cm="1">
        <f t="array" aca="1" ref="P27" ca="1">_xludf.Average(AR11:AT11)</f>
        <v>#NAME?</v>
      </c>
      <c r="R27" s="32" t="s">
        <v>57</v>
      </c>
      <c r="S27" s="64">
        <f t="shared" ref="S27:S30" si="15">STDEV(B11,C11,D11)</f>
        <v>1.0000000000000009E-2</v>
      </c>
      <c r="T27" s="64">
        <f t="shared" ref="T27:T30" si="16">STDEV(E11,F11,G11)</f>
        <v>5.7735026918962623E-3</v>
      </c>
      <c r="U27" s="64">
        <f t="shared" ref="U27:U29" si="17">STDEV(H11,I11,J11)</f>
        <v>0.13868429375143163</v>
      </c>
      <c r="V27" s="64">
        <f t="shared" ref="V27:V30" si="18">STDEV(K11:M11)</f>
        <v>0.14525839046333991</v>
      </c>
      <c r="W27" s="64">
        <f t="shared" ref="W27:W30" si="19">STDEV(O11,N11,P11)</f>
        <v>0.14933184523068074</v>
      </c>
      <c r="X27" s="64">
        <f t="shared" ref="X27:X30" si="20">STDEV(Q11,R11,S11)</f>
        <v>6.5064070986477124E-2</v>
      </c>
      <c r="Y27" s="64">
        <f t="shared" ref="Y27:Y30" si="21">STDEV(T11:V11)</f>
        <v>9.6090235369329827E-2</v>
      </c>
      <c r="Z27" s="64">
        <f t="shared" ref="Z27:Z30" si="22">STDEV(W11:Y11)</f>
        <v>1.527525231651948E-2</v>
      </c>
      <c r="AA27" s="64">
        <f t="shared" ref="AA27:AA30" si="23">STDEV(Z11:AB11)</f>
        <v>1.0000000000000009E-2</v>
      </c>
      <c r="AB27" s="64">
        <f t="shared" ref="AB27:AB30" si="24">STDEV(AC11:AE11)</f>
        <v>4.0414518843273788E-2</v>
      </c>
      <c r="AC27" s="42">
        <f t="shared" ref="AC27:AC30" si="25">STDEV(AF11:AH11)</f>
        <v>8.6216781042517052E-2</v>
      </c>
      <c r="AD27" s="42">
        <f t="shared" ref="AD27:AD30" si="26">STDEV(AI11:AK11)</f>
        <v>5.7735026918962623E-3</v>
      </c>
      <c r="AE27" s="65">
        <f t="shared" ref="AE27:AE30" si="27">STDEV(AL11:AN11)</f>
        <v>7.0237691685685014E-2</v>
      </c>
      <c r="AF27" s="42">
        <f t="shared" ref="AF27:AF30" si="28">STDEV(AO11:AQ11)</f>
        <v>2.5166114784235853E-2</v>
      </c>
      <c r="AG27" s="42">
        <f t="shared" ref="AG27:AG30" si="29">STDEV(AR11:AT11)</f>
        <v>1.527525231651948E-2</v>
      </c>
    </row>
    <row r="28" spans="1:33" x14ac:dyDescent="0.25">
      <c r="A28" s="50" t="s">
        <v>58</v>
      </c>
      <c r="B28" s="64" t="e" cm="1">
        <f t="array" aca="1" ref="B28" ca="1">_xludf.Average(B12,C12,D12)</f>
        <v>#NAME?</v>
      </c>
      <c r="C28" s="64" t="e" cm="1">
        <f t="array" aca="1" ref="C28" ca="1">_xludf.Average(E12,F12,G12)</f>
        <v>#NAME?</v>
      </c>
      <c r="D28" s="64" t="e" cm="1">
        <f t="array" aca="1" ref="D28" ca="1">_xludf.Average(H12:J12)</f>
        <v>#NAME?</v>
      </c>
      <c r="E28" s="64" t="e" cm="1">
        <f t="array" aca="1" ref="E28" ca="1">_xludf.Average(K12:M12)</f>
        <v>#NAME?</v>
      </c>
      <c r="F28" s="64" t="e" cm="1">
        <f t="array" aca="1" ref="F28" ca="1">_xludf.Average(N12,O12,P12)</f>
        <v>#NAME?</v>
      </c>
      <c r="G28" s="64" t="e" cm="1">
        <f t="array" aca="1" ref="G28" ca="1">_xludf.Average(Q12,R12,S12)</f>
        <v>#NAME?</v>
      </c>
      <c r="H28" s="64" t="e" cm="1">
        <f t="array" aca="1" ref="H28" ca="1">_xludf.Average(T12:V12)</f>
        <v>#NAME?</v>
      </c>
      <c r="I28" s="64" t="e" cm="1">
        <f t="array" aca="1" ref="I28" ca="1">_xludf.Average(W12:Y12)</f>
        <v>#NAME?</v>
      </c>
      <c r="J28" s="64" t="e" cm="1">
        <f t="array" aca="1" ref="J28" ca="1">_xludf.Average(Z12:AB12)</f>
        <v>#NAME?</v>
      </c>
      <c r="K28" s="64" t="e" cm="1">
        <f t="array" aca="1" ref="K28" ca="1">_xludf.Average(AC12:AE12)</f>
        <v>#NAME?</v>
      </c>
      <c r="L28" s="42" t="e" cm="1">
        <f t="array" aca="1" ref="L28" ca="1">_xludf.Average(AF12:AH12)</f>
        <v>#NAME?</v>
      </c>
      <c r="M28" s="42" t="e" cm="1">
        <f t="array" aca="1" ref="M28" ca="1">_xludf.Average(AI12:AK12)</f>
        <v>#NAME?</v>
      </c>
      <c r="N28" s="42" t="e" cm="1">
        <f t="array" aca="1" ref="N28" ca="1">_xludf.Average(AL12:AN12)</f>
        <v>#NAME?</v>
      </c>
      <c r="O28" s="42" t="e" cm="1">
        <f t="array" aca="1" ref="O28" ca="1">_xludf.Average(AO12:AQ12)</f>
        <v>#NAME?</v>
      </c>
      <c r="P28" s="42" t="e" cm="1">
        <f t="array" aca="1" ref="P28" ca="1">_xludf.Average(AR12:AT12)</f>
        <v>#NAME?</v>
      </c>
      <c r="R28" s="32" t="s">
        <v>58</v>
      </c>
      <c r="S28" s="64">
        <f t="shared" si="15"/>
        <v>1.9358288491840729</v>
      </c>
      <c r="T28" s="64">
        <f t="shared" si="16"/>
        <v>5.3431950491567619</v>
      </c>
      <c r="U28" s="64">
        <f t="shared" si="17"/>
        <v>5.1953953972083156</v>
      </c>
      <c r="V28" s="64">
        <f t="shared" si="18"/>
        <v>8.3340326373251763</v>
      </c>
      <c r="W28" s="64">
        <f t="shared" si="19"/>
        <v>5.0883494376860563</v>
      </c>
      <c r="X28" s="64">
        <f t="shared" si="20"/>
        <v>4.1562282580884959</v>
      </c>
      <c r="Y28" s="64">
        <f t="shared" si="21"/>
        <v>5.115870730709811</v>
      </c>
      <c r="Z28" s="64">
        <f t="shared" si="22"/>
        <v>7.5415537744773591</v>
      </c>
      <c r="AA28" s="64">
        <f t="shared" si="23"/>
        <v>7.4449065362390137</v>
      </c>
      <c r="AB28" s="64">
        <f t="shared" si="24"/>
        <v>4.5847828011077425</v>
      </c>
      <c r="AC28" s="42">
        <f t="shared" si="25"/>
        <v>7.2802678522152116</v>
      </c>
      <c r="AD28" s="42">
        <f t="shared" si="26"/>
        <v>5.4071649996401403</v>
      </c>
      <c r="AE28" s="65">
        <f t="shared" si="27"/>
        <v>4.1219453336177727</v>
      </c>
      <c r="AF28" s="42">
        <f t="shared" si="28"/>
        <v>3.2315063566908457</v>
      </c>
      <c r="AG28" s="42">
        <f t="shared" si="29"/>
        <v>4.2478504367895669</v>
      </c>
    </row>
    <row r="29" spans="1:33" x14ac:dyDescent="0.25">
      <c r="A29" s="50" t="s">
        <v>59</v>
      </c>
      <c r="B29" s="64" t="e" cm="1">
        <f t="array" aca="1" ref="B29" ca="1">_xludf.Average(B13,C13,D13)</f>
        <v>#NAME?</v>
      </c>
      <c r="C29" s="64" t="e" cm="1">
        <f t="array" aca="1" ref="C29" ca="1">_xludf.Average(E13,F13,G13)</f>
        <v>#NAME?</v>
      </c>
      <c r="D29" s="64" t="e" cm="1">
        <f t="array" aca="1" ref="D29" ca="1">_xludf.Average(H13:J13)</f>
        <v>#NAME?</v>
      </c>
      <c r="E29" s="64" t="e" cm="1">
        <f t="array" aca="1" ref="E29" ca="1">_xludf.Average(K13:M13)</f>
        <v>#NAME?</v>
      </c>
      <c r="F29" s="64" t="e" cm="1">
        <f t="array" aca="1" ref="F29" ca="1">_xludf.Average(N13,O13,P13)</f>
        <v>#NAME?</v>
      </c>
      <c r="G29" s="64" t="e" cm="1">
        <f t="array" aca="1" ref="G29" ca="1">_xludf.Average(Q13,R13,S13)</f>
        <v>#NAME?</v>
      </c>
      <c r="H29" s="64" t="e" cm="1">
        <f t="array" aca="1" ref="H29" ca="1">_xludf.Average(T13:V13)</f>
        <v>#NAME?</v>
      </c>
      <c r="I29" s="64" t="e" cm="1">
        <f t="array" aca="1" ref="I29" ca="1">_xludf.Average(W13:Y13)</f>
        <v>#NAME?</v>
      </c>
      <c r="J29" s="64" t="e" cm="1">
        <f t="array" aca="1" ref="J29" ca="1">_xludf.Average(Z13:AB13)</f>
        <v>#NAME?</v>
      </c>
      <c r="K29" s="64" t="e" cm="1">
        <f t="array" aca="1" ref="K29" ca="1">_xludf.Average(AC13:AE13)</f>
        <v>#NAME?</v>
      </c>
      <c r="L29" s="42" t="e" cm="1">
        <f t="array" aca="1" ref="L29" ca="1">_xludf.Average(AF13:AH13)</f>
        <v>#NAME?</v>
      </c>
      <c r="M29" s="42" t="e" cm="1">
        <f t="array" aca="1" ref="M29" ca="1">_xludf.Average(AI13:AK13)</f>
        <v>#NAME?</v>
      </c>
      <c r="N29" s="42" t="e" cm="1">
        <f t="array" aca="1" ref="N29" ca="1">_xludf.Average(AL13:AN13)</f>
        <v>#NAME?</v>
      </c>
      <c r="O29" s="42" t="e" cm="1">
        <f t="array" aca="1" ref="O29" ca="1">_xludf.Average(AO13:AQ13)</f>
        <v>#NAME?</v>
      </c>
      <c r="P29" s="42" t="e" cm="1">
        <f t="array" aca="1" ref="P29" ca="1">_xludf.Average(AR13:AT13)</f>
        <v>#NAME?</v>
      </c>
      <c r="R29" s="32" t="s">
        <v>59</v>
      </c>
      <c r="S29" s="64">
        <f t="shared" si="15"/>
        <v>1.6139082997494016</v>
      </c>
      <c r="T29" s="64">
        <f t="shared" si="16"/>
        <v>4.8350077559399924</v>
      </c>
      <c r="U29" s="64">
        <f t="shared" si="17"/>
        <v>5.3218887624602482</v>
      </c>
      <c r="V29" s="64">
        <f t="shared" si="18"/>
        <v>8.2202027550014094</v>
      </c>
      <c r="W29" s="64">
        <f t="shared" si="19"/>
        <v>5.805017944273172</v>
      </c>
      <c r="X29" s="64">
        <f t="shared" si="20"/>
        <v>4.6011737632912739</v>
      </c>
      <c r="Y29" s="64">
        <f t="shared" si="21"/>
        <v>5.668412476170035</v>
      </c>
      <c r="Z29" s="64">
        <f t="shared" si="22"/>
        <v>7.489441456699832</v>
      </c>
      <c r="AA29" s="64">
        <f t="shared" si="23"/>
        <v>7.3554900131353085</v>
      </c>
      <c r="AB29" s="64">
        <f t="shared" si="24"/>
        <v>7.2013910693236092</v>
      </c>
      <c r="AC29" s="42">
        <f t="shared" si="25"/>
        <v>8.1226863372491351</v>
      </c>
      <c r="AD29" s="42">
        <f t="shared" si="26"/>
        <v>5.4307120466227765</v>
      </c>
      <c r="AE29" s="65">
        <f t="shared" si="27"/>
        <v>5.1577255969402698</v>
      </c>
      <c r="AF29" s="42">
        <f t="shared" si="28"/>
        <v>4.5512782087379948</v>
      </c>
      <c r="AG29" s="42">
        <f t="shared" si="29"/>
        <v>5.4239499751872273</v>
      </c>
    </row>
    <row r="30" spans="1:33" x14ac:dyDescent="0.25">
      <c r="A30" s="50" t="s">
        <v>60</v>
      </c>
      <c r="B30" s="64" t="e" cm="1">
        <f t="array" aca="1" ref="B30" ca="1">_xludf.Average(B14,C14,D14)</f>
        <v>#NAME?</v>
      </c>
      <c r="C30" s="64" t="e" cm="1">
        <f t="array" aca="1" ref="C30" ca="1">_xludf.Average(E14,F14,G14)</f>
        <v>#NAME?</v>
      </c>
      <c r="D30" s="64" t="e" cm="1">
        <f t="array" aca="1" ref="D30" ca="1">_xludf.Average(H14:J14)</f>
        <v>#NAME?</v>
      </c>
      <c r="E30" s="64" t="e" cm="1">
        <f t="array" aca="1" ref="E30" ca="1">_xludf.Average(K14:M14)</f>
        <v>#NAME?</v>
      </c>
      <c r="F30" s="64" t="e" cm="1">
        <f t="array" aca="1" ref="F30" ca="1">_xludf.Average(N14,O14,P14)</f>
        <v>#NAME?</v>
      </c>
      <c r="G30" s="64" t="e" cm="1">
        <f t="array" aca="1" ref="G30" ca="1">_xludf.Average(Q14,R14,S14)</f>
        <v>#NAME?</v>
      </c>
      <c r="H30" s="64" t="e" cm="1">
        <f t="array" aca="1" ref="H30" ca="1">_xludf.Average(T14:V14)</f>
        <v>#NAME?</v>
      </c>
      <c r="I30" s="64" t="e" cm="1">
        <f t="array" aca="1" ref="I30" ca="1">_xludf.Average(W14:Y14)</f>
        <v>#NAME?</v>
      </c>
      <c r="J30" s="64" t="e" cm="1">
        <f t="array" aca="1" ref="J30" ca="1">_xludf.Average(Z14:AB14)</f>
        <v>#NAME?</v>
      </c>
      <c r="K30" s="64" t="e" cm="1">
        <f t="array" aca="1" ref="K30" ca="1">_xludf.Average(AC14:AE14)</f>
        <v>#NAME?</v>
      </c>
      <c r="L30" s="42" t="e" cm="1">
        <f t="array" aca="1" ref="L30" ca="1">_xludf.Average(AF14:AH14)</f>
        <v>#NAME?</v>
      </c>
      <c r="M30" s="42" t="e" cm="1">
        <f t="array" aca="1" ref="M30" ca="1">_xludf.Average(AI14:AK14)</f>
        <v>#NAME?</v>
      </c>
      <c r="N30" s="42" t="e" cm="1">
        <f t="array" aca="1" ref="N30" ca="1">_xludf.Average(AL14:AN14)</f>
        <v>#NAME?</v>
      </c>
      <c r="O30" s="42" t="e" cm="1">
        <f t="array" aca="1" ref="O30" ca="1">_xludf.Average(AO14:AQ14)</f>
        <v>#NAME?</v>
      </c>
      <c r="P30" s="42" t="e" cm="1">
        <f t="array" aca="1" ref="P30" ca="1">_xludf.Average(AR14:AT14)</f>
        <v>#NAME?</v>
      </c>
      <c r="R30" s="32" t="s">
        <v>60</v>
      </c>
      <c r="S30" s="64">
        <f t="shared" si="15"/>
        <v>5.7735026918963907E-3</v>
      </c>
      <c r="T30" s="64">
        <f t="shared" si="16"/>
        <v>2.5166114784235975E-2</v>
      </c>
      <c r="U30" s="64">
        <f>STDEV(H14,I14,J14)</f>
        <v>7.5498344352707442E-2</v>
      </c>
      <c r="V30" s="64">
        <f t="shared" si="18"/>
        <v>0.22120880030716078</v>
      </c>
      <c r="W30" s="64">
        <f t="shared" si="19"/>
        <v>0.54601587278515307</v>
      </c>
      <c r="X30" s="64">
        <f t="shared" si="20"/>
        <v>0.28618176042508692</v>
      </c>
      <c r="Y30" s="64">
        <f t="shared" si="21"/>
        <v>3.5118845842842368E-2</v>
      </c>
      <c r="Z30" s="64">
        <f t="shared" si="22"/>
        <v>0.15044378795195668</v>
      </c>
      <c r="AA30" s="64">
        <f t="shared" si="23"/>
        <v>0.28360771028541043</v>
      </c>
      <c r="AB30" s="64">
        <f t="shared" si="24"/>
        <v>0.21071307505705472</v>
      </c>
      <c r="AC30" s="42">
        <f t="shared" si="25"/>
        <v>0.45522888016176416</v>
      </c>
      <c r="AD30" s="42">
        <f t="shared" si="26"/>
        <v>0.36528527664461463</v>
      </c>
      <c r="AE30" s="65">
        <f t="shared" si="27"/>
        <v>0.36828431046317273</v>
      </c>
      <c r="AF30" s="42">
        <f t="shared" si="28"/>
        <v>0.3342154993413719</v>
      </c>
      <c r="AG30" s="42">
        <f t="shared" si="29"/>
        <v>0.19672315572906007</v>
      </c>
    </row>
    <row r="31" spans="1:33" x14ac:dyDescent="0.25">
      <c r="A31"/>
      <c r="B31"/>
      <c r="C31"/>
      <c r="D31"/>
      <c r="E31"/>
      <c r="F31"/>
      <c r="G31" s="64"/>
      <c r="H31"/>
      <c r="I31"/>
      <c r="J31"/>
      <c r="K31"/>
    </row>
    <row r="32" spans="1:33" x14ac:dyDescent="0.25">
      <c r="A32"/>
      <c r="B32"/>
      <c r="C32"/>
      <c r="D32"/>
      <c r="E32"/>
      <c r="F32"/>
      <c r="G32"/>
      <c r="H32"/>
      <c r="I32"/>
      <c r="J32"/>
      <c r="K32"/>
    </row>
    <row r="33" spans="1:11" x14ac:dyDescent="0.25">
      <c r="A33"/>
      <c r="B33"/>
      <c r="C33"/>
      <c r="D33"/>
      <c r="E33"/>
      <c r="F33"/>
      <c r="G33"/>
      <c r="H33"/>
      <c r="I33"/>
      <c r="J33"/>
      <c r="K33"/>
    </row>
    <row r="34" spans="1:11" x14ac:dyDescent="0.25">
      <c r="A34"/>
      <c r="B34"/>
      <c r="C34"/>
      <c r="D34"/>
      <c r="E34"/>
      <c r="F34"/>
      <c r="G34"/>
      <c r="H34"/>
      <c r="I34"/>
      <c r="J34"/>
      <c r="K34"/>
    </row>
    <row r="35" spans="1:11" x14ac:dyDescent="0.25">
      <c r="A35"/>
      <c r="B35"/>
      <c r="C35"/>
      <c r="D35"/>
      <c r="E35"/>
      <c r="F35"/>
      <c r="G35"/>
      <c r="H35"/>
      <c r="I35"/>
      <c r="J35"/>
      <c r="K35"/>
    </row>
    <row r="36" spans="1:11" x14ac:dyDescent="0.25">
      <c r="A36"/>
      <c r="B36"/>
      <c r="C36"/>
      <c r="D36"/>
      <c r="E36"/>
      <c r="F36"/>
      <c r="G36"/>
      <c r="H36"/>
      <c r="I36"/>
      <c r="J36"/>
      <c r="K36"/>
    </row>
    <row r="37" spans="1:11" x14ac:dyDescent="0.25">
      <c r="A37"/>
      <c r="B37"/>
      <c r="C37"/>
      <c r="D37"/>
      <c r="E37"/>
      <c r="F37"/>
      <c r="G37"/>
      <c r="H37"/>
      <c r="I37"/>
      <c r="J37"/>
      <c r="K37"/>
    </row>
    <row r="38" spans="1:11" x14ac:dyDescent="0.25">
      <c r="A38"/>
      <c r="B38"/>
      <c r="C38"/>
      <c r="D38"/>
      <c r="E38"/>
      <c r="F38"/>
      <c r="G38"/>
      <c r="H38"/>
      <c r="I38"/>
      <c r="J38"/>
      <c r="K38"/>
    </row>
    <row r="39" spans="1:11" x14ac:dyDescent="0.25">
      <c r="A39"/>
      <c r="B39"/>
      <c r="C39"/>
      <c r="D39"/>
      <c r="E39"/>
      <c r="F39"/>
      <c r="G39"/>
      <c r="H39"/>
      <c r="I39"/>
      <c r="J39"/>
      <c r="K39"/>
    </row>
    <row r="40" spans="1:11" x14ac:dyDescent="0.25">
      <c r="A40"/>
      <c r="B40"/>
      <c r="C40"/>
      <c r="D40"/>
      <c r="E40"/>
      <c r="F40"/>
      <c r="G40"/>
      <c r="H40"/>
      <c r="I40"/>
      <c r="J40"/>
      <c r="K40"/>
    </row>
    <row r="41" spans="1:11" x14ac:dyDescent="0.25">
      <c r="A41"/>
      <c r="B41"/>
      <c r="C41"/>
      <c r="D41"/>
      <c r="E41"/>
      <c r="F41"/>
      <c r="G41"/>
      <c r="H41"/>
      <c r="I41"/>
      <c r="J41"/>
      <c r="K41"/>
    </row>
    <row r="42" spans="1:11" x14ac:dyDescent="0.25">
      <c r="A42"/>
      <c r="B42"/>
      <c r="C42"/>
      <c r="D42"/>
      <c r="E42"/>
      <c r="F42"/>
      <c r="G42"/>
      <c r="H42"/>
      <c r="I42"/>
      <c r="J42"/>
      <c r="K42"/>
    </row>
    <row r="43" spans="1:11" x14ac:dyDescent="0.25">
      <c r="A43"/>
      <c r="B43"/>
      <c r="C43"/>
      <c r="D43"/>
      <c r="E43"/>
      <c r="F43"/>
      <c r="G43"/>
      <c r="H43"/>
      <c r="I43"/>
      <c r="J43"/>
      <c r="K43"/>
    </row>
    <row r="44" spans="1:11" x14ac:dyDescent="0.25">
      <c r="A44"/>
      <c r="B44"/>
      <c r="C44"/>
      <c r="D44"/>
      <c r="E44"/>
      <c r="F44"/>
      <c r="G44"/>
      <c r="H44"/>
      <c r="I44"/>
      <c r="J44"/>
      <c r="K44"/>
    </row>
    <row r="45" spans="1:11" x14ac:dyDescent="0.25">
      <c r="A45"/>
      <c r="B45"/>
      <c r="C45"/>
      <c r="D45"/>
      <c r="E45"/>
      <c r="F45"/>
      <c r="G45"/>
      <c r="H45"/>
      <c r="I45"/>
      <c r="J45"/>
      <c r="K45"/>
    </row>
    <row r="46" spans="1:11" x14ac:dyDescent="0.25">
      <c r="A46"/>
      <c r="B46"/>
      <c r="C46"/>
      <c r="D46"/>
      <c r="E46"/>
      <c r="F46"/>
      <c r="G46"/>
      <c r="H46"/>
      <c r="I46"/>
      <c r="J46"/>
      <c r="K46"/>
    </row>
    <row r="47" spans="1:11" x14ac:dyDescent="0.25">
      <c r="A47"/>
      <c r="B47"/>
      <c r="C47"/>
      <c r="D47"/>
      <c r="E47"/>
      <c r="F47"/>
      <c r="G47"/>
      <c r="H47"/>
      <c r="I47"/>
      <c r="J47"/>
      <c r="K47"/>
    </row>
    <row r="48" spans="1:11" x14ac:dyDescent="0.25">
      <c r="A48"/>
      <c r="B48"/>
      <c r="C48"/>
      <c r="D48"/>
      <c r="E48"/>
      <c r="F48"/>
      <c r="G48"/>
      <c r="H48"/>
      <c r="I48"/>
      <c r="J48"/>
      <c r="K48"/>
    </row>
    <row r="49" spans="1:11" x14ac:dyDescent="0.25">
      <c r="A49"/>
      <c r="B49"/>
      <c r="C49"/>
      <c r="D49"/>
      <c r="E49"/>
      <c r="F49"/>
      <c r="G49"/>
      <c r="H49"/>
      <c r="I49"/>
      <c r="J49"/>
      <c r="K4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3DC90-56E6-4399-A352-584CED7A13B9}">
  <dimension ref="A1:N50"/>
  <sheetViews>
    <sheetView tabSelected="1" zoomScale="69" workbookViewId="0">
      <selection activeCell="J46" sqref="J46"/>
    </sheetView>
  </sheetViews>
  <sheetFormatPr defaultColWidth="8.85546875" defaultRowHeight="15" x14ac:dyDescent="0.25"/>
  <cols>
    <col min="1" max="1" width="43.7109375" style="32" customWidth="1"/>
    <col min="2" max="2" width="10" style="32" bestFit="1" customWidth="1"/>
    <col min="3" max="3" width="10.140625" style="32" bestFit="1" customWidth="1"/>
    <col min="4" max="4" width="10" style="32" bestFit="1" customWidth="1"/>
    <col min="5" max="5" width="10.140625" style="32" bestFit="1" customWidth="1"/>
    <col min="6" max="6" width="10" style="32" bestFit="1" customWidth="1"/>
    <col min="7" max="7" width="12.28515625" style="32" bestFit="1" customWidth="1"/>
    <col min="8" max="8" width="12.140625" style="32" bestFit="1" customWidth="1"/>
    <col min="9" max="9" width="10.7109375" style="32" customWidth="1"/>
    <col min="10" max="10" width="12" style="32" bestFit="1" customWidth="1"/>
    <col min="11" max="11" width="10" style="32" bestFit="1" customWidth="1"/>
    <col min="12" max="12" width="11" style="32" bestFit="1" customWidth="1"/>
    <col min="13" max="13" width="8.85546875" style="32"/>
    <col min="14" max="14" width="11.85546875" style="32" bestFit="1" customWidth="1"/>
    <col min="15" max="16384" width="8.85546875" style="32"/>
  </cols>
  <sheetData>
    <row r="1" spans="1:14" x14ac:dyDescent="0.25">
      <c r="A1" s="48"/>
      <c r="B1" s="34" t="s">
        <v>61</v>
      </c>
      <c r="C1" s="34" t="s">
        <v>177</v>
      </c>
      <c r="D1" s="34" t="s">
        <v>62</v>
      </c>
      <c r="E1" s="34" t="s">
        <v>177</v>
      </c>
      <c r="F1" s="34" t="s">
        <v>63</v>
      </c>
      <c r="G1" s="34" t="s">
        <v>177</v>
      </c>
      <c r="H1" s="34" t="s">
        <v>305</v>
      </c>
      <c r="I1" s="34" t="s">
        <v>306</v>
      </c>
      <c r="J1" s="34" t="s">
        <v>307</v>
      </c>
      <c r="K1" s="92" t="s">
        <v>17</v>
      </c>
      <c r="L1" s="92" t="s">
        <v>95</v>
      </c>
    </row>
    <row r="2" spans="1:14" x14ac:dyDescent="0.25">
      <c r="A2" s="18" t="s">
        <v>293</v>
      </c>
      <c r="B2" s="60">
        <v>2.8000000000000001E-2</v>
      </c>
      <c r="C2" s="60">
        <v>50045.330999999998</v>
      </c>
      <c r="D2" s="60">
        <v>2.8000000000000001E-2</v>
      </c>
      <c r="E2" s="60">
        <v>50105.616000000002</v>
      </c>
      <c r="F2" s="60">
        <v>2.8000000000000001E-2</v>
      </c>
      <c r="G2" s="60">
        <v>50217.440999999999</v>
      </c>
      <c r="H2" s="60">
        <f>B2/C2</f>
        <v>5.5949275268056479E-7</v>
      </c>
      <c r="I2" s="60">
        <f>D2/E2</f>
        <v>5.5881959419479045E-7</v>
      </c>
      <c r="J2" s="60">
        <f>F2/G2</f>
        <v>5.5757520579354093E-7</v>
      </c>
      <c r="K2" s="60">
        <f>AVERAGE(H2:J2)</f>
        <v>5.5862918422296535E-7</v>
      </c>
      <c r="L2" s="61">
        <f>STDEV(I2:K2)</f>
        <v>6.7027717901213122E-10</v>
      </c>
      <c r="M2" s="59"/>
      <c r="N2" s="59"/>
    </row>
    <row r="3" spans="1:14" x14ac:dyDescent="0.25">
      <c r="A3" s="15" t="s">
        <v>147</v>
      </c>
      <c r="B3" s="34">
        <v>397.851</v>
      </c>
      <c r="C3" s="60">
        <v>32772.86</v>
      </c>
      <c r="D3" s="34">
        <v>391.589</v>
      </c>
      <c r="E3" s="60">
        <v>33060.86</v>
      </c>
      <c r="F3" s="34">
        <v>433.56099999999998</v>
      </c>
      <c r="G3" s="60">
        <v>34033.21</v>
      </c>
      <c r="H3" s="62">
        <f t="shared" ref="H3:H31" si="0">(B3/C3)*100</f>
        <v>1.213964847742919</v>
      </c>
      <c r="I3" s="62">
        <f t="shared" ref="I3:I31" si="1">(D3/E3)*100</f>
        <v>1.1844489223813295</v>
      </c>
      <c r="J3" s="62">
        <f t="shared" ref="J3:J31" si="2">(F3/G3)*100</f>
        <v>1.2739350769439615</v>
      </c>
      <c r="K3" s="61">
        <f>AVERAGE(H3,I3,J3)</f>
        <v>1.2241162823560698</v>
      </c>
      <c r="L3" s="61">
        <f t="shared" ref="L3:L31" si="3">STDEV(H3,I3,J3)</f>
        <v>4.5598592995076341E-2</v>
      </c>
      <c r="M3" s="59"/>
      <c r="N3" s="59"/>
    </row>
    <row r="4" spans="1:14" x14ac:dyDescent="0.25">
      <c r="A4" s="15" t="s">
        <v>148</v>
      </c>
      <c r="B4" s="34">
        <v>614.33600000000001</v>
      </c>
      <c r="C4" s="60">
        <v>45165.1</v>
      </c>
      <c r="D4" s="60">
        <v>550.90700000000004</v>
      </c>
      <c r="E4" s="60">
        <v>40132.44</v>
      </c>
      <c r="F4" s="60">
        <v>668.99199999999996</v>
      </c>
      <c r="G4" s="60">
        <v>47181.46</v>
      </c>
      <c r="H4" s="61">
        <f t="shared" si="0"/>
        <v>1.3602006859278515</v>
      </c>
      <c r="I4" s="61">
        <f t="shared" si="1"/>
        <v>1.3727224160803579</v>
      </c>
      <c r="J4" s="61">
        <f t="shared" si="2"/>
        <v>1.4179128835775747</v>
      </c>
      <c r="K4" s="60">
        <f>AVERAGE(H4,I4,J4)</f>
        <v>1.3836119951952615</v>
      </c>
      <c r="L4" s="61">
        <f t="shared" si="3"/>
        <v>3.035805723963551E-2</v>
      </c>
      <c r="N4" s="59"/>
    </row>
    <row r="5" spans="1:14" x14ac:dyDescent="0.25">
      <c r="A5" s="16" t="s">
        <v>29</v>
      </c>
      <c r="B5" s="34">
        <v>2.8000000000000001E-2</v>
      </c>
      <c r="C5" s="60">
        <v>26760.34</v>
      </c>
      <c r="D5" s="60">
        <v>0.28000000000000003</v>
      </c>
      <c r="E5" s="60">
        <v>50625</v>
      </c>
      <c r="F5" s="60">
        <v>2.8000000000000001E-2</v>
      </c>
      <c r="G5" s="60">
        <v>38334.86</v>
      </c>
      <c r="H5" s="61">
        <f t="shared" si="0"/>
        <v>1.04632452352997E-4</v>
      </c>
      <c r="I5" s="61">
        <f t="shared" si="1"/>
        <v>5.5308641975308651E-4</v>
      </c>
      <c r="J5" s="61">
        <f t="shared" si="2"/>
        <v>7.3040569340803647E-5</v>
      </c>
      <c r="K5" s="61">
        <f>AVERAGE(H5,I5,J5)</f>
        <v>2.4358648048229572E-4</v>
      </c>
      <c r="L5" s="61">
        <f t="shared" si="3"/>
        <v>2.6849985302515795E-4</v>
      </c>
      <c r="N5" s="59"/>
    </row>
    <row r="6" spans="1:14" x14ac:dyDescent="0.25">
      <c r="A6" s="16" t="s">
        <v>30</v>
      </c>
      <c r="B6" s="61">
        <v>2.8000000000000001E-2</v>
      </c>
      <c r="C6" s="61">
        <v>50625</v>
      </c>
      <c r="D6" s="61">
        <v>2.8000000000000001E-2</v>
      </c>
      <c r="E6" s="61">
        <v>37131.18</v>
      </c>
      <c r="F6" s="61">
        <v>0.28000000000000003</v>
      </c>
      <c r="G6" s="61">
        <v>33094.269999999997</v>
      </c>
      <c r="H6" s="61">
        <f t="shared" si="0"/>
        <v>5.530864197530864E-5</v>
      </c>
      <c r="I6" s="61">
        <f t="shared" si="1"/>
        <v>7.5408322601113134E-5</v>
      </c>
      <c r="J6" s="61">
        <f t="shared" si="2"/>
        <v>8.4606791447582941E-4</v>
      </c>
      <c r="K6" s="61">
        <f t="shared" ref="K6:K31" si="4">AVERAGE(J6,I6,H6)</f>
        <v>3.2559495968408373E-4</v>
      </c>
      <c r="L6" s="61">
        <f t="shared" si="3"/>
        <v>4.5085482341054389E-4</v>
      </c>
      <c r="M6" s="59"/>
      <c r="N6" s="59"/>
    </row>
    <row r="7" spans="1:14" x14ac:dyDescent="0.25">
      <c r="A7" s="17" t="s">
        <v>149</v>
      </c>
      <c r="B7" s="58">
        <v>597.952</v>
      </c>
      <c r="C7" s="58">
        <v>41069.47</v>
      </c>
      <c r="D7" s="58">
        <v>560.96699999999998</v>
      </c>
      <c r="E7" s="58">
        <v>38426.588000000003</v>
      </c>
      <c r="F7" s="58">
        <v>553.99</v>
      </c>
      <c r="G7" s="58">
        <v>36233.161999999997</v>
      </c>
      <c r="H7" s="61">
        <f t="shared" si="0"/>
        <v>1.4559525603812271</v>
      </c>
      <c r="I7" s="61">
        <f t="shared" si="1"/>
        <v>1.4598407748301774</v>
      </c>
      <c r="J7" s="61">
        <f t="shared" si="2"/>
        <v>1.5289584717999496</v>
      </c>
      <c r="K7" s="61">
        <f t="shared" si="4"/>
        <v>1.4815839356704512</v>
      </c>
      <c r="L7" s="61">
        <f t="shared" si="3"/>
        <v>4.1073587109164283E-2</v>
      </c>
      <c r="M7" s="42"/>
      <c r="N7" s="42"/>
    </row>
    <row r="8" spans="1:14" x14ac:dyDescent="0.25">
      <c r="A8" s="17" t="s">
        <v>150</v>
      </c>
      <c r="B8" s="58">
        <v>809.08500000000004</v>
      </c>
      <c r="C8" s="60">
        <v>48896.42</v>
      </c>
      <c r="D8" s="60">
        <v>721.39400000000001</v>
      </c>
      <c r="E8" s="60">
        <v>42738.02</v>
      </c>
      <c r="F8" s="60">
        <v>767.89400000000001</v>
      </c>
      <c r="G8" s="60">
        <v>49448.173999999999</v>
      </c>
      <c r="H8" s="61">
        <f t="shared" si="0"/>
        <v>1.6546916931750835</v>
      </c>
      <c r="I8" s="61">
        <f t="shared" si="1"/>
        <v>1.6879443642920287</v>
      </c>
      <c r="J8" s="61">
        <f t="shared" si="2"/>
        <v>1.5529269088884861</v>
      </c>
      <c r="K8" s="61">
        <f t="shared" si="4"/>
        <v>1.6318543221185327</v>
      </c>
      <c r="L8" s="61">
        <f t="shared" si="3"/>
        <v>7.0346197150186016E-2</v>
      </c>
    </row>
    <row r="9" spans="1:14" x14ac:dyDescent="0.25">
      <c r="A9" s="16" t="s">
        <v>151</v>
      </c>
      <c r="B9" s="58">
        <v>2.8000000000000001E-2</v>
      </c>
      <c r="C9" s="60">
        <v>17715.286</v>
      </c>
      <c r="D9" s="60">
        <v>2.8000000000000001E-2</v>
      </c>
      <c r="E9" s="60">
        <v>29621.579000000002</v>
      </c>
      <c r="F9" s="60">
        <v>0.28000000000000003</v>
      </c>
      <c r="G9" s="60">
        <v>50625</v>
      </c>
      <c r="H9" s="61">
        <f t="shared" si="0"/>
        <v>1.5805559108670331E-4</v>
      </c>
      <c r="I9" s="61">
        <f t="shared" si="1"/>
        <v>9.4525683455294536E-5</v>
      </c>
      <c r="J9" s="61">
        <f t="shared" si="2"/>
        <v>5.5308641975308651E-4</v>
      </c>
      <c r="K9" s="61">
        <f t="shared" si="4"/>
        <v>2.6855589809836143E-4</v>
      </c>
      <c r="L9" s="61">
        <f t="shared" si="3"/>
        <v>2.4844964400406436E-4</v>
      </c>
    </row>
    <row r="10" spans="1:14" x14ac:dyDescent="0.25">
      <c r="A10" s="16" t="s">
        <v>152</v>
      </c>
      <c r="B10" s="58">
        <v>1.845</v>
      </c>
      <c r="C10" s="60">
        <v>25168.73</v>
      </c>
      <c r="D10" s="60">
        <v>1.88</v>
      </c>
      <c r="E10" s="60">
        <v>22152.92</v>
      </c>
      <c r="F10" s="60">
        <v>1.86</v>
      </c>
      <c r="G10" s="60">
        <v>27777.360000000001</v>
      </c>
      <c r="H10" s="61">
        <f t="shared" si="0"/>
        <v>7.3305248218722202E-3</v>
      </c>
      <c r="I10" s="61">
        <f t="shared" si="1"/>
        <v>8.4864658925324528E-3</v>
      </c>
      <c r="J10" s="61">
        <f t="shared" si="2"/>
        <v>6.6961007093546696E-3</v>
      </c>
      <c r="K10" s="61">
        <f t="shared" si="4"/>
        <v>7.5043638079197806E-3</v>
      </c>
      <c r="L10" s="61">
        <f t="shared" si="3"/>
        <v>9.0775374804312275E-4</v>
      </c>
    </row>
    <row r="11" spans="1:14" x14ac:dyDescent="0.25">
      <c r="A11" s="16" t="s">
        <v>153</v>
      </c>
      <c r="B11" s="63">
        <v>61.972000000000001</v>
      </c>
      <c r="C11" s="63">
        <v>47282.720000000001</v>
      </c>
      <c r="D11" s="60">
        <v>79.875</v>
      </c>
      <c r="E11" s="60">
        <v>50634.67</v>
      </c>
      <c r="F11" s="60">
        <v>96.305999999999997</v>
      </c>
      <c r="G11" s="60">
        <v>50637.5</v>
      </c>
      <c r="H11" s="61">
        <f t="shared" si="0"/>
        <v>0.13106690985628577</v>
      </c>
      <c r="I11" s="61">
        <f t="shared" si="1"/>
        <v>0.15774764602988425</v>
      </c>
      <c r="J11" s="61">
        <f t="shared" si="2"/>
        <v>0.19018711429276722</v>
      </c>
      <c r="K11" s="61">
        <f t="shared" si="4"/>
        <v>0.15966722339297909</v>
      </c>
      <c r="L11" s="61">
        <f t="shared" si="3"/>
        <v>2.9606810468075138E-2</v>
      </c>
    </row>
    <row r="12" spans="1:14" x14ac:dyDescent="0.25">
      <c r="A12" s="16" t="s">
        <v>154</v>
      </c>
      <c r="B12" s="60">
        <v>86.305999999999997</v>
      </c>
      <c r="C12" s="60">
        <v>50630.94</v>
      </c>
      <c r="D12" s="60">
        <v>66.363</v>
      </c>
      <c r="E12" s="60">
        <v>38274.26</v>
      </c>
      <c r="F12" s="60">
        <v>87.76</v>
      </c>
      <c r="G12" s="60">
        <v>50630.745000000003</v>
      </c>
      <c r="H12" s="60">
        <f t="shared" si="0"/>
        <v>0.17046098689852487</v>
      </c>
      <c r="I12" s="61">
        <f t="shared" si="1"/>
        <v>0.17338806811679702</v>
      </c>
      <c r="J12" s="61">
        <f t="shared" si="2"/>
        <v>0.17333341628688262</v>
      </c>
      <c r="K12" s="60">
        <f t="shared" si="4"/>
        <v>0.17239415710073483</v>
      </c>
      <c r="L12" s="61">
        <f t="shared" si="3"/>
        <v>1.6743974972098573E-3</v>
      </c>
      <c r="M12" s="59"/>
    </row>
    <row r="13" spans="1:14" x14ac:dyDescent="0.25">
      <c r="A13" s="17" t="s">
        <v>155</v>
      </c>
      <c r="B13" s="60">
        <v>822.67499999999995</v>
      </c>
      <c r="C13" s="60">
        <v>48068.296000000002</v>
      </c>
      <c r="D13" s="60">
        <v>827.21</v>
      </c>
      <c r="E13" s="60">
        <v>50710.705000000002</v>
      </c>
      <c r="F13" s="60">
        <v>750.654</v>
      </c>
      <c r="G13" s="60">
        <v>45170.036</v>
      </c>
      <c r="H13" s="60">
        <f t="shared" si="0"/>
        <v>1.7114711118530184</v>
      </c>
      <c r="I13" s="60">
        <f t="shared" si="1"/>
        <v>1.6312334841331826</v>
      </c>
      <c r="J13" s="60">
        <f t="shared" si="2"/>
        <v>1.6618406060158994</v>
      </c>
      <c r="K13" s="60">
        <f t="shared" si="4"/>
        <v>1.6681817340007001</v>
      </c>
      <c r="L13" s="60">
        <f t="shared" si="3"/>
        <v>4.0492921030921648E-2</v>
      </c>
      <c r="M13" s="59"/>
      <c r="N13" s="59"/>
    </row>
    <row r="14" spans="1:14" x14ac:dyDescent="0.25">
      <c r="A14" s="17" t="s">
        <v>156</v>
      </c>
      <c r="B14" s="60">
        <v>977.48099999999999</v>
      </c>
      <c r="C14" s="60">
        <v>40682.487999999998</v>
      </c>
      <c r="D14" s="60">
        <v>899.66499999999996</v>
      </c>
      <c r="E14" s="60">
        <v>37094.300000000003</v>
      </c>
      <c r="F14" s="60">
        <v>1211.854</v>
      </c>
      <c r="G14" s="60">
        <v>50722.728000000003</v>
      </c>
      <c r="H14" s="60">
        <f t="shared" si="0"/>
        <v>2.402707032077291</v>
      </c>
      <c r="I14" s="60">
        <f t="shared" si="1"/>
        <v>2.4253456730548897</v>
      </c>
      <c r="J14" s="60">
        <f t="shared" si="2"/>
        <v>2.3891735476057203</v>
      </c>
      <c r="K14" s="60">
        <f t="shared" si="4"/>
        <v>2.4057420842459671</v>
      </c>
      <c r="L14" s="60">
        <f t="shared" si="3"/>
        <v>1.82760586869147E-2</v>
      </c>
      <c r="M14" s="59"/>
      <c r="N14" s="59"/>
    </row>
    <row r="15" spans="1:14" x14ac:dyDescent="0.25">
      <c r="A15" s="17" t="s">
        <v>157</v>
      </c>
      <c r="B15" s="60">
        <v>935.74300000000005</v>
      </c>
      <c r="C15" s="60">
        <v>42202.802000000003</v>
      </c>
      <c r="D15" s="60">
        <v>738.81500000000005</v>
      </c>
      <c r="E15" s="60">
        <v>33779.063999999998</v>
      </c>
      <c r="F15" s="60">
        <v>619.899</v>
      </c>
      <c r="G15" s="60">
        <v>27105.682000000001</v>
      </c>
      <c r="H15" s="60">
        <f t="shared" si="0"/>
        <v>2.2172532525210054</v>
      </c>
      <c r="I15" s="60">
        <f t="shared" si="1"/>
        <v>2.1871979638038521</v>
      </c>
      <c r="J15" s="60">
        <f t="shared" si="2"/>
        <v>2.2869706801695671</v>
      </c>
      <c r="K15" s="60">
        <f t="shared" si="4"/>
        <v>2.2304739654981414</v>
      </c>
      <c r="L15" s="60">
        <f t="shared" si="3"/>
        <v>5.1183387651328953E-2</v>
      </c>
      <c r="M15" s="59"/>
      <c r="N15" s="59"/>
    </row>
    <row r="16" spans="1:14" x14ac:dyDescent="0.25">
      <c r="A16" s="17" t="s">
        <v>158</v>
      </c>
      <c r="B16" s="60">
        <v>1355.681</v>
      </c>
      <c r="C16" s="60">
        <v>50780.266000000003</v>
      </c>
      <c r="D16" s="60">
        <v>791.49</v>
      </c>
      <c r="E16" s="60">
        <v>32352.799999999999</v>
      </c>
      <c r="F16" s="60">
        <v>1108.499</v>
      </c>
      <c r="G16" s="60">
        <v>42638.696000000004</v>
      </c>
      <c r="H16" s="60">
        <f t="shared" si="0"/>
        <v>2.6697004698636277</v>
      </c>
      <c r="I16" s="60">
        <f t="shared" si="1"/>
        <v>2.4464343117133605</v>
      </c>
      <c r="J16" s="60">
        <f t="shared" si="2"/>
        <v>2.5997488290917712</v>
      </c>
      <c r="K16" s="60">
        <f t="shared" si="4"/>
        <v>2.5719612035562531</v>
      </c>
      <c r="L16" s="60">
        <f t="shared" si="3"/>
        <v>0.11419745375213788</v>
      </c>
      <c r="M16" s="59"/>
      <c r="N16" s="59"/>
    </row>
    <row r="17" spans="1:14" x14ac:dyDescent="0.25">
      <c r="A17" s="18" t="s">
        <v>294</v>
      </c>
      <c r="B17" s="60">
        <v>1326.931</v>
      </c>
      <c r="C17" s="60">
        <v>50804.51</v>
      </c>
      <c r="D17" s="60">
        <v>1334.9649999999999</v>
      </c>
      <c r="E17" s="60">
        <v>50763.31</v>
      </c>
      <c r="F17" s="60">
        <v>1085.508</v>
      </c>
      <c r="G17" s="60">
        <v>41330.15</v>
      </c>
      <c r="H17" s="60">
        <f t="shared" si="0"/>
        <v>2.6118370199810998</v>
      </c>
      <c r="I17" s="60">
        <f t="shared" si="1"/>
        <v>2.6297832036563418</v>
      </c>
      <c r="J17" s="60">
        <f t="shared" si="2"/>
        <v>2.6264313098307168</v>
      </c>
      <c r="K17" s="60">
        <f t="shared" si="4"/>
        <v>2.6226838444893863</v>
      </c>
      <c r="L17" s="60">
        <f t="shared" si="3"/>
        <v>9.5419599396421636E-3</v>
      </c>
      <c r="M17" s="59"/>
      <c r="N17" s="59"/>
    </row>
    <row r="18" spans="1:14" x14ac:dyDescent="0.25">
      <c r="A18" s="15" t="s">
        <v>160</v>
      </c>
      <c r="B18" s="60">
        <v>402.52100000000002</v>
      </c>
      <c r="C18" s="60">
        <v>25823.812999999998</v>
      </c>
      <c r="D18" s="60">
        <v>652.904</v>
      </c>
      <c r="E18" s="60">
        <v>42624.093999999997</v>
      </c>
      <c r="F18" s="60">
        <v>694.64200000000005</v>
      </c>
      <c r="G18" s="60">
        <v>43664.093999999997</v>
      </c>
      <c r="H18" s="60">
        <f t="shared" si="0"/>
        <v>1.5587202401132629</v>
      </c>
      <c r="I18" s="60">
        <f t="shared" si="1"/>
        <v>1.5317721474619497</v>
      </c>
      <c r="J18" s="60">
        <f t="shared" si="2"/>
        <v>1.5908769342609059</v>
      </c>
      <c r="K18" s="60">
        <f t="shared" si="4"/>
        <v>1.5604564406120396</v>
      </c>
      <c r="L18" s="60">
        <f t="shared" si="3"/>
        <v>2.9590619286633434E-2</v>
      </c>
      <c r="M18" s="59"/>
      <c r="N18" s="59"/>
    </row>
    <row r="19" spans="1:14" x14ac:dyDescent="0.25">
      <c r="A19" s="15" t="s">
        <v>161</v>
      </c>
      <c r="B19" s="60">
        <v>294.44499999999999</v>
      </c>
      <c r="C19" s="60">
        <v>11285.173000000001</v>
      </c>
      <c r="D19" s="60">
        <v>646.98800000000006</v>
      </c>
      <c r="E19" s="60">
        <v>24925.344000000001</v>
      </c>
      <c r="F19" s="60">
        <v>400.97899999999998</v>
      </c>
      <c r="G19" s="60">
        <v>15764.26</v>
      </c>
      <c r="H19" s="60">
        <f t="shared" si="0"/>
        <v>2.6091314683434628</v>
      </c>
      <c r="I19" s="60">
        <f t="shared" si="1"/>
        <v>2.5957033933012119</v>
      </c>
      <c r="J19" s="60">
        <f t="shared" si="2"/>
        <v>2.5435954494533837</v>
      </c>
      <c r="K19" s="60">
        <f t="shared" si="4"/>
        <v>2.5828101036993529</v>
      </c>
      <c r="L19" s="60">
        <f t="shared" si="3"/>
        <v>3.461820518973012E-2</v>
      </c>
      <c r="M19" s="59"/>
      <c r="N19" s="59"/>
    </row>
    <row r="20" spans="1:14" x14ac:dyDescent="0.25">
      <c r="A20" s="16" t="s">
        <v>162</v>
      </c>
      <c r="B20" s="60">
        <v>328.303</v>
      </c>
      <c r="C20" s="60">
        <v>50665.919999999998</v>
      </c>
      <c r="D20" s="60">
        <v>233.46600000000001</v>
      </c>
      <c r="E20" s="60">
        <v>36152.39</v>
      </c>
      <c r="F20" s="60">
        <v>244.00399999999999</v>
      </c>
      <c r="G20" s="60">
        <v>39915.71</v>
      </c>
      <c r="H20" s="60">
        <f t="shared" si="0"/>
        <v>0.64797599648836923</v>
      </c>
      <c r="I20" s="60">
        <f t="shared" si="1"/>
        <v>0.64578303121868297</v>
      </c>
      <c r="J20" s="60">
        <f t="shared" si="2"/>
        <v>0.61129815804353727</v>
      </c>
      <c r="K20" s="60">
        <f t="shared" si="4"/>
        <v>0.63501906191686308</v>
      </c>
      <c r="L20" s="60">
        <f t="shared" si="3"/>
        <v>2.0572147058442587E-2</v>
      </c>
      <c r="M20" s="59"/>
      <c r="N20" s="59"/>
    </row>
    <row r="21" spans="1:14" x14ac:dyDescent="0.25">
      <c r="A21" s="16" t="s">
        <v>163</v>
      </c>
      <c r="B21" s="60">
        <v>175.39699999999999</v>
      </c>
      <c r="C21" s="60">
        <v>27210.02</v>
      </c>
      <c r="D21" s="60">
        <v>144.74</v>
      </c>
      <c r="E21" s="60">
        <v>21718.01</v>
      </c>
      <c r="F21" s="60">
        <v>232.79900000000001</v>
      </c>
      <c r="G21" s="60">
        <v>37677.42</v>
      </c>
      <c r="H21" s="60">
        <f t="shared" si="0"/>
        <v>0.64460445086038154</v>
      </c>
      <c r="I21" s="60">
        <f t="shared" si="1"/>
        <v>0.66645148427503265</v>
      </c>
      <c r="J21" s="60">
        <f t="shared" si="2"/>
        <v>0.61787404763914311</v>
      </c>
      <c r="K21" s="60">
        <f t="shared" si="4"/>
        <v>0.64297666092485251</v>
      </c>
      <c r="L21" s="60">
        <f t="shared" si="3"/>
        <v>2.4329593350159454E-2</v>
      </c>
      <c r="M21" s="59"/>
      <c r="N21" s="59"/>
    </row>
    <row r="22" spans="1:14" x14ac:dyDescent="0.25">
      <c r="A22" s="17" t="s">
        <v>164</v>
      </c>
      <c r="B22" s="60">
        <v>444.17700000000002</v>
      </c>
      <c r="C22" s="60">
        <v>25785.108</v>
      </c>
      <c r="D22" s="60">
        <v>513.34299999999996</v>
      </c>
      <c r="E22" s="60">
        <v>30047.94</v>
      </c>
      <c r="F22" s="60">
        <v>864.39800000000002</v>
      </c>
      <c r="G22" s="60">
        <v>50649.214999999997</v>
      </c>
      <c r="H22" s="60">
        <f t="shared" si="0"/>
        <v>1.7226105859242473</v>
      </c>
      <c r="I22" s="60">
        <f t="shared" si="1"/>
        <v>1.7084132888976749</v>
      </c>
      <c r="J22" s="60">
        <f t="shared" si="2"/>
        <v>1.7066365194406272</v>
      </c>
      <c r="K22" s="60">
        <f t="shared" si="4"/>
        <v>1.7125534647541831</v>
      </c>
      <c r="L22" s="60">
        <f t="shared" si="3"/>
        <v>8.7549124551813354E-3</v>
      </c>
      <c r="M22" s="59"/>
      <c r="N22" s="59"/>
    </row>
    <row r="23" spans="1:14" x14ac:dyDescent="0.25">
      <c r="A23" s="17" t="s">
        <v>165</v>
      </c>
      <c r="B23" s="60">
        <v>513.16800000000001</v>
      </c>
      <c r="C23" s="60">
        <v>29899.403999999999</v>
      </c>
      <c r="D23" s="60">
        <v>669.37199999999996</v>
      </c>
      <c r="E23" s="60">
        <v>39359.838000000003</v>
      </c>
      <c r="F23" s="60">
        <v>718.67</v>
      </c>
      <c r="G23" s="60">
        <v>40885.171000000002</v>
      </c>
      <c r="H23" s="60">
        <f t="shared" si="0"/>
        <v>1.7163151479541199</v>
      </c>
      <c r="I23" s="60">
        <f t="shared" si="1"/>
        <v>1.7006472435176179</v>
      </c>
      <c r="J23" s="60">
        <f t="shared" si="2"/>
        <v>1.757776676536341</v>
      </c>
      <c r="K23" s="60">
        <f t="shared" si="4"/>
        <v>1.7249130226693596</v>
      </c>
      <c r="L23" s="60">
        <f t="shared" si="3"/>
        <v>2.9519241461704437E-2</v>
      </c>
      <c r="M23" s="59"/>
      <c r="N23" s="59"/>
    </row>
    <row r="24" spans="1:14" x14ac:dyDescent="0.25">
      <c r="A24" s="16" t="s">
        <v>166</v>
      </c>
      <c r="B24" s="60">
        <v>426.90300000000002</v>
      </c>
      <c r="C24" s="60">
        <v>50665.919999999998</v>
      </c>
      <c r="D24" s="60">
        <v>294.46600000000001</v>
      </c>
      <c r="E24" s="60">
        <v>36152.39</v>
      </c>
      <c r="F24" s="60">
        <v>333.13400000000001</v>
      </c>
      <c r="G24" s="60">
        <v>39915.71</v>
      </c>
      <c r="H24" s="60">
        <f t="shared" si="0"/>
        <v>0.84258412755556411</v>
      </c>
      <c r="I24" s="60">
        <f t="shared" si="1"/>
        <v>0.81451323135206277</v>
      </c>
      <c r="J24" s="60">
        <f t="shared" si="2"/>
        <v>0.83459369756920276</v>
      </c>
      <c r="K24" s="60">
        <f t="shared" si="4"/>
        <v>0.83056368549227655</v>
      </c>
      <c r="L24" s="60">
        <f t="shared" si="3"/>
        <v>1.4462868022009495E-2</v>
      </c>
      <c r="M24" s="59"/>
      <c r="N24" s="59"/>
    </row>
    <row r="25" spans="1:14" x14ac:dyDescent="0.25">
      <c r="A25" s="16" t="s">
        <v>167</v>
      </c>
      <c r="B25" s="60">
        <v>476.303</v>
      </c>
      <c r="C25" s="60">
        <v>50665.919999999998</v>
      </c>
      <c r="D25" s="60">
        <v>352.46600000000001</v>
      </c>
      <c r="E25" s="60">
        <v>36152.39</v>
      </c>
      <c r="F25" s="60">
        <v>382.09399999999999</v>
      </c>
      <c r="G25" s="60">
        <v>39915.71</v>
      </c>
      <c r="H25" s="60">
        <f t="shared" si="0"/>
        <v>0.94008556441884417</v>
      </c>
      <c r="I25" s="60">
        <f t="shared" si="1"/>
        <v>0.97494522492150593</v>
      </c>
      <c r="J25" s="60">
        <f t="shared" si="2"/>
        <v>0.95725216963446236</v>
      </c>
      <c r="K25" s="60">
        <f t="shared" si="4"/>
        <v>0.95742765299160426</v>
      </c>
      <c r="L25" s="60">
        <f t="shared" si="3"/>
        <v>1.7430492775497897E-2</v>
      </c>
      <c r="N25" s="59"/>
    </row>
    <row r="26" spans="1:14" x14ac:dyDescent="0.25">
      <c r="A26" s="16" t="s">
        <v>168</v>
      </c>
      <c r="B26" s="60">
        <v>458.303</v>
      </c>
      <c r="C26" s="60">
        <v>50665.919999999998</v>
      </c>
      <c r="D26" s="60">
        <v>324.666</v>
      </c>
      <c r="E26" s="60">
        <v>36152.39</v>
      </c>
      <c r="F26" s="60">
        <v>362.61399999999998</v>
      </c>
      <c r="G26" s="60">
        <v>39915.71</v>
      </c>
      <c r="H26" s="60">
        <f t="shared" si="0"/>
        <v>0.90455872507594848</v>
      </c>
      <c r="I26" s="60">
        <f t="shared" si="1"/>
        <v>0.89804851076235903</v>
      </c>
      <c r="J26" s="60">
        <f t="shared" si="2"/>
        <v>0.908449329850327</v>
      </c>
      <c r="K26" s="60">
        <f t="shared" si="4"/>
        <v>0.90368552189621143</v>
      </c>
      <c r="L26" s="60">
        <f t="shared" si="3"/>
        <v>5.2551044014355038E-3</v>
      </c>
      <c r="N26" s="59"/>
    </row>
    <row r="27" spans="1:14" x14ac:dyDescent="0.25">
      <c r="A27" s="16" t="s">
        <v>169</v>
      </c>
      <c r="B27" s="60">
        <v>512.98</v>
      </c>
      <c r="C27" s="60">
        <v>50365.919999999998</v>
      </c>
      <c r="D27" s="60">
        <v>352.01</v>
      </c>
      <c r="E27" s="60">
        <v>35122.39</v>
      </c>
      <c r="F27" s="60">
        <v>364.45</v>
      </c>
      <c r="G27" s="60">
        <v>36625.910000000003</v>
      </c>
      <c r="H27" s="60">
        <f t="shared" si="0"/>
        <v>1.0185061644858269</v>
      </c>
      <c r="I27" s="60">
        <f t="shared" si="1"/>
        <v>1.0022381734272638</v>
      </c>
      <c r="J27" s="60">
        <f t="shared" si="2"/>
        <v>0.99506060054207512</v>
      </c>
      <c r="K27" s="60">
        <f t="shared" si="4"/>
        <v>1.0052683128183888</v>
      </c>
      <c r="L27" s="60">
        <f t="shared" si="3"/>
        <v>1.2012906630261158E-2</v>
      </c>
      <c r="N27" s="59"/>
    </row>
    <row r="28" spans="1:14" x14ac:dyDescent="0.25">
      <c r="A28" s="17" t="s">
        <v>170</v>
      </c>
      <c r="B28" s="60">
        <v>1083.509</v>
      </c>
      <c r="C28" s="60">
        <v>51020.93</v>
      </c>
      <c r="D28" s="60">
        <v>450.661</v>
      </c>
      <c r="E28" s="60">
        <v>20495.107</v>
      </c>
      <c r="F28" s="60">
        <v>396.84500000000003</v>
      </c>
      <c r="G28" s="60">
        <v>17714.026000000002</v>
      </c>
      <c r="H28" s="60">
        <f t="shared" si="0"/>
        <v>2.1236559192472577</v>
      </c>
      <c r="I28" s="60">
        <f t="shared" si="1"/>
        <v>2.1988711744710581</v>
      </c>
      <c r="J28" s="60">
        <f t="shared" si="2"/>
        <v>2.240286877754385</v>
      </c>
      <c r="K28" s="61">
        <f t="shared" si="4"/>
        <v>2.1876046571575665</v>
      </c>
      <c r="L28" s="61">
        <f t="shared" si="3"/>
        <v>5.9126101933530219E-2</v>
      </c>
      <c r="N28" s="59"/>
    </row>
    <row r="29" spans="1:14" x14ac:dyDescent="0.25">
      <c r="A29" s="17" t="s">
        <v>171</v>
      </c>
      <c r="B29" s="60">
        <v>1383.913</v>
      </c>
      <c r="C29" s="60">
        <v>43822.025000000001</v>
      </c>
      <c r="D29" s="60">
        <v>1267.913</v>
      </c>
      <c r="E29" s="60">
        <v>41635.576999999997</v>
      </c>
      <c r="F29" s="60">
        <v>1600.586</v>
      </c>
      <c r="G29" s="60">
        <v>50689.347999999998</v>
      </c>
      <c r="H29" s="60">
        <f t="shared" si="0"/>
        <v>3.1580306934697795</v>
      </c>
      <c r="I29" s="60">
        <f t="shared" si="1"/>
        <v>3.0452634293983727</v>
      </c>
      <c r="J29" s="60">
        <f t="shared" si="2"/>
        <v>3.1576377743110839</v>
      </c>
      <c r="K29" s="61">
        <f t="shared" si="4"/>
        <v>3.1203106323930787</v>
      </c>
      <c r="L29" s="61">
        <f t="shared" si="3"/>
        <v>6.4993081203792588E-2</v>
      </c>
    </row>
    <row r="30" spans="1:14" x14ac:dyDescent="0.25">
      <c r="A30" s="17" t="s">
        <v>172</v>
      </c>
      <c r="B30" s="34">
        <v>945</v>
      </c>
      <c r="C30" s="60">
        <v>39265.449999999997</v>
      </c>
      <c r="D30" s="60">
        <v>995.52800000000002</v>
      </c>
      <c r="E30" s="60">
        <v>39732.199999999997</v>
      </c>
      <c r="F30" s="34">
        <v>1242.46</v>
      </c>
      <c r="G30" s="34">
        <v>50773.48</v>
      </c>
      <c r="H30" s="61">
        <f t="shared" si="0"/>
        <v>2.4066959629903644</v>
      </c>
      <c r="I30" s="61">
        <f t="shared" si="1"/>
        <v>2.5055949582454535</v>
      </c>
      <c r="J30" s="61">
        <f t="shared" si="2"/>
        <v>2.4470648850541661</v>
      </c>
      <c r="K30" s="61">
        <f t="shared" si="4"/>
        <v>2.4531186020966609</v>
      </c>
      <c r="L30" s="61">
        <f t="shared" si="3"/>
        <v>4.972663705841654E-2</v>
      </c>
    </row>
    <row r="31" spans="1:14" x14ac:dyDescent="0.25">
      <c r="A31" s="17" t="s">
        <v>173</v>
      </c>
      <c r="B31" s="34">
        <v>729.13</v>
      </c>
      <c r="C31" s="60">
        <v>17852.474999999999</v>
      </c>
      <c r="D31" s="60">
        <v>2100.0030000000002</v>
      </c>
      <c r="E31" s="60">
        <v>50501.010999999999</v>
      </c>
      <c r="F31" s="34">
        <v>2106.4070000000002</v>
      </c>
      <c r="G31" s="34">
        <v>50765.411999999997</v>
      </c>
      <c r="H31" s="61">
        <f t="shared" si="0"/>
        <v>4.0841956087321236</v>
      </c>
      <c r="I31" s="61">
        <f t="shared" si="1"/>
        <v>4.1583385330642191</v>
      </c>
      <c r="J31" s="61">
        <f t="shared" si="2"/>
        <v>4.1492955873183899</v>
      </c>
      <c r="K31" s="61">
        <f t="shared" si="4"/>
        <v>4.1306099097049112</v>
      </c>
      <c r="L31" s="61">
        <f t="shared" si="3"/>
        <v>4.0449464990712322E-2</v>
      </c>
    </row>
    <row r="32" spans="1:14" x14ac:dyDescent="0.25">
      <c r="C32" s="59"/>
      <c r="D32" s="59"/>
      <c r="E32" s="59"/>
      <c r="J32" s="59"/>
    </row>
    <row r="33" spans="3:10" x14ac:dyDescent="0.25">
      <c r="C33" s="59"/>
      <c r="D33" s="59"/>
      <c r="E33" s="59"/>
      <c r="J33" s="59"/>
    </row>
    <row r="34" spans="3:10" x14ac:dyDescent="0.25">
      <c r="C34" s="59"/>
      <c r="D34" s="59"/>
      <c r="E34" s="59"/>
      <c r="J34" s="59"/>
    </row>
    <row r="35" spans="3:10" x14ac:dyDescent="0.25">
      <c r="C35" s="59"/>
      <c r="D35" s="59"/>
      <c r="E35" s="59"/>
      <c r="J35" s="59"/>
    </row>
    <row r="36" spans="3:10" x14ac:dyDescent="0.25">
      <c r="C36" s="59"/>
      <c r="E36" s="59"/>
      <c r="J36" s="59"/>
    </row>
    <row r="37" spans="3:10" x14ac:dyDescent="0.25">
      <c r="C37" s="59"/>
      <c r="E37" s="59"/>
      <c r="J37" s="59"/>
    </row>
    <row r="38" spans="3:10" x14ac:dyDescent="0.25">
      <c r="C38" s="59"/>
      <c r="E38" s="59"/>
      <c r="J38" s="59"/>
    </row>
    <row r="39" spans="3:10" x14ac:dyDescent="0.25">
      <c r="C39" s="59"/>
      <c r="E39" s="59"/>
      <c r="J39" s="59"/>
    </row>
    <row r="40" spans="3:10" x14ac:dyDescent="0.25">
      <c r="C40" s="59"/>
      <c r="E40" s="59"/>
      <c r="J40" s="59"/>
    </row>
    <row r="41" spans="3:10" x14ac:dyDescent="0.25">
      <c r="C41" s="59"/>
      <c r="E41" s="59"/>
      <c r="J41" s="59"/>
    </row>
    <row r="42" spans="3:10" x14ac:dyDescent="0.25">
      <c r="C42" s="59"/>
      <c r="E42" s="59"/>
      <c r="J42" s="59"/>
    </row>
    <row r="43" spans="3:10" x14ac:dyDescent="0.25">
      <c r="C43" s="59"/>
      <c r="E43" s="59"/>
      <c r="J43" s="59"/>
    </row>
    <row r="44" spans="3:10" x14ac:dyDescent="0.25">
      <c r="C44" s="59"/>
      <c r="E44" s="59"/>
      <c r="J44" s="59"/>
    </row>
    <row r="45" spans="3:10" x14ac:dyDescent="0.25">
      <c r="C45" s="59"/>
      <c r="E45" s="59"/>
      <c r="J45" s="59"/>
    </row>
    <row r="46" spans="3:10" x14ac:dyDescent="0.25">
      <c r="C46" s="59"/>
      <c r="E46" s="59"/>
      <c r="J46" s="59"/>
    </row>
    <row r="47" spans="3:10" x14ac:dyDescent="0.25">
      <c r="E47" s="59"/>
      <c r="J47" s="59"/>
    </row>
    <row r="48" spans="3:10" x14ac:dyDescent="0.25">
      <c r="E48" s="59"/>
      <c r="J48" s="59"/>
    </row>
    <row r="49" spans="2:13" x14ac:dyDescent="0.25">
      <c r="E49" s="59"/>
      <c r="J49" s="59"/>
    </row>
    <row r="50" spans="2:13" x14ac:dyDescent="0.25">
      <c r="B50" s="59"/>
      <c r="D50" s="59"/>
      <c r="F50" s="59"/>
      <c r="H50" s="59"/>
      <c r="K50" s="59"/>
      <c r="M50" s="5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6C5DA-B075-44E0-A8D6-19A4AC11D8BA}">
  <dimension ref="A1:O25"/>
  <sheetViews>
    <sheetView zoomScale="78" workbookViewId="0">
      <selection activeCell="E5" sqref="E5"/>
    </sheetView>
  </sheetViews>
  <sheetFormatPr defaultColWidth="8.85546875" defaultRowHeight="15" x14ac:dyDescent="0.25"/>
  <cols>
    <col min="1" max="1" width="22" style="32" customWidth="1"/>
    <col min="2" max="2" width="15.7109375" style="32" customWidth="1"/>
    <col min="3" max="3" width="20.42578125" style="32" customWidth="1"/>
    <col min="4" max="4" width="13.140625" style="32" customWidth="1"/>
    <col min="5" max="5" width="14.140625" style="32" customWidth="1"/>
    <col min="6" max="6" width="17.7109375" style="32" customWidth="1"/>
    <col min="7" max="7" width="9" style="32" customWidth="1"/>
    <col min="8" max="8" width="18.140625" style="32" customWidth="1"/>
    <col min="9" max="9" width="11" style="32" customWidth="1"/>
    <col min="10" max="10" width="13.5703125" style="32" customWidth="1"/>
    <col min="11" max="11" width="8.85546875" style="32"/>
    <col min="12" max="12" width="10.28515625" style="32" customWidth="1"/>
    <col min="13" max="13" width="17.7109375" style="32" bestFit="1" customWidth="1"/>
    <col min="14" max="14" width="11.140625" style="32" customWidth="1"/>
    <col min="15" max="15" width="13.85546875" style="32" customWidth="1"/>
    <col min="16" max="16384" width="8.85546875" style="32"/>
  </cols>
  <sheetData>
    <row r="1" spans="1:15" x14ac:dyDescent="0.25">
      <c r="A1" s="18"/>
      <c r="B1" s="14" t="s">
        <v>310</v>
      </c>
      <c r="C1" s="14" t="s">
        <v>312</v>
      </c>
      <c r="D1" s="4" t="s">
        <v>313</v>
      </c>
      <c r="E1" s="4" t="s">
        <v>314</v>
      </c>
      <c r="G1" s="14" t="s">
        <v>310</v>
      </c>
      <c r="H1" s="14" t="s">
        <v>312</v>
      </c>
      <c r="I1" s="4" t="s">
        <v>313</v>
      </c>
      <c r="J1" s="4" t="s">
        <v>314</v>
      </c>
      <c r="L1" s="4" t="s">
        <v>311</v>
      </c>
      <c r="M1" s="4" t="s">
        <v>312</v>
      </c>
      <c r="N1" s="4" t="s">
        <v>313</v>
      </c>
      <c r="O1" s="4" t="s">
        <v>314</v>
      </c>
    </row>
    <row r="2" spans="1:15" x14ac:dyDescent="0.25">
      <c r="A2" s="19" t="s">
        <v>293</v>
      </c>
      <c r="B2" s="23">
        <v>0.20860000000000001</v>
      </c>
      <c r="C2" s="23">
        <v>0.28689999999999999</v>
      </c>
      <c r="D2" s="36">
        <f>C2-B2</f>
        <v>7.8299999999999981E-2</v>
      </c>
      <c r="E2" s="28">
        <f>(D2*1)/0.018</f>
        <v>4.3499999999999996</v>
      </c>
      <c r="G2" s="23">
        <v>0.2034</v>
      </c>
      <c r="H2" s="23">
        <v>0.27800000000000002</v>
      </c>
      <c r="I2" s="36">
        <f>H2-G2</f>
        <v>7.4600000000000027E-2</v>
      </c>
      <c r="J2" s="28">
        <f>(I2*1)/0.018</f>
        <v>4.1444444444444466</v>
      </c>
      <c r="L2" s="23">
        <v>0.2132</v>
      </c>
      <c r="M2" s="23">
        <v>0.30399999999999999</v>
      </c>
      <c r="N2" s="36">
        <f>M2-L2</f>
        <v>9.0799999999999992E-2</v>
      </c>
      <c r="O2" s="28">
        <f>(N2*1)/0.018</f>
        <v>5.0444444444444443</v>
      </c>
    </row>
    <row r="3" spans="1:15" x14ac:dyDescent="0.25">
      <c r="A3" s="20" t="s">
        <v>84</v>
      </c>
      <c r="B3" s="37">
        <v>0.21560000000000001</v>
      </c>
      <c r="C3" s="37">
        <v>0.30680000000000002</v>
      </c>
      <c r="D3" s="38">
        <f t="shared" ref="D3:D12" si="0">C3-B3</f>
        <v>9.1200000000000003E-2</v>
      </c>
      <c r="E3" s="39">
        <f>(D3*1)/0.018</f>
        <v>5.0666666666666673</v>
      </c>
      <c r="G3" s="37">
        <v>0.20810000000000001</v>
      </c>
      <c r="H3" s="37">
        <v>0.29480000000000001</v>
      </c>
      <c r="I3" s="38">
        <f t="shared" ref="I3:I12" si="1">H3-G3</f>
        <v>8.6699999999999999E-2</v>
      </c>
      <c r="J3" s="39">
        <f>(I3*1)/0.018</f>
        <v>4.8166666666666673</v>
      </c>
      <c r="L3" s="37">
        <v>0.20119999999999999</v>
      </c>
      <c r="M3" s="37">
        <v>0.29670000000000002</v>
      </c>
      <c r="N3" s="38">
        <f t="shared" ref="N3:N12" si="2">M3-L3</f>
        <v>9.5500000000000029E-2</v>
      </c>
      <c r="O3" s="39">
        <f>(N3*1)/0.018</f>
        <v>5.305555555555558</v>
      </c>
    </row>
    <row r="4" spans="1:15" x14ac:dyDescent="0.25">
      <c r="A4" s="20" t="s">
        <v>83</v>
      </c>
      <c r="B4" s="37">
        <v>0.21210000000000001</v>
      </c>
      <c r="C4" s="37">
        <v>0.30980000000000002</v>
      </c>
      <c r="D4" s="38">
        <f>C4-B4</f>
        <v>9.7700000000000009E-2</v>
      </c>
      <c r="E4" s="39">
        <f>(D4*1)/0.018</f>
        <v>5.4277777777777789</v>
      </c>
      <c r="G4" s="37">
        <v>0.1888</v>
      </c>
      <c r="H4" s="37">
        <v>0.2772</v>
      </c>
      <c r="I4" s="38">
        <f t="shared" si="1"/>
        <v>8.8400000000000006E-2</v>
      </c>
      <c r="J4" s="39">
        <f t="shared" ref="J4:J7" si="3">(I4*1)/0.018</f>
        <v>4.9111111111111114</v>
      </c>
      <c r="L4" s="37">
        <v>0.2009</v>
      </c>
      <c r="M4" s="37">
        <v>0.2964</v>
      </c>
      <c r="N4" s="38">
        <f t="shared" si="2"/>
        <v>9.5500000000000002E-2</v>
      </c>
      <c r="O4" s="39">
        <f t="shared" ref="O4:O7" si="4">(N4*1)/0.018</f>
        <v>5.3055555555555562</v>
      </c>
    </row>
    <row r="5" spans="1:15" x14ac:dyDescent="0.25">
      <c r="A5" s="20" t="s">
        <v>85</v>
      </c>
      <c r="B5" s="37">
        <v>0.20760000000000001</v>
      </c>
      <c r="C5" s="37">
        <v>0.30380000000000001</v>
      </c>
      <c r="D5" s="38">
        <f>C5-B5</f>
        <v>9.6200000000000008E-2</v>
      </c>
      <c r="E5" s="39">
        <f t="shared" ref="E5:E6" si="5">(D5*1)/0.018</f>
        <v>5.344444444444445</v>
      </c>
      <c r="G5" s="37">
        <v>0.21099999999999999</v>
      </c>
      <c r="H5" s="37">
        <v>0.30599999999999999</v>
      </c>
      <c r="I5" s="38">
        <f t="shared" si="1"/>
        <v>9.5000000000000001E-2</v>
      </c>
      <c r="J5" s="39">
        <f t="shared" si="3"/>
        <v>5.2777777777777786</v>
      </c>
      <c r="L5" s="37">
        <v>0.21099999999999999</v>
      </c>
      <c r="M5" s="37">
        <v>0.31819999999999998</v>
      </c>
      <c r="N5" s="38">
        <f t="shared" si="2"/>
        <v>0.10719999999999999</v>
      </c>
      <c r="O5" s="39">
        <f t="shared" si="4"/>
        <v>5.9555555555555557</v>
      </c>
    </row>
    <row r="6" spans="1:15" x14ac:dyDescent="0.25">
      <c r="A6" s="20" t="s">
        <v>86</v>
      </c>
      <c r="B6" s="37">
        <v>0.19189999999999999</v>
      </c>
      <c r="C6" s="37">
        <v>0.31269999999999998</v>
      </c>
      <c r="D6" s="38">
        <f t="shared" si="0"/>
        <v>0.12079999999999999</v>
      </c>
      <c r="E6" s="39">
        <f t="shared" si="5"/>
        <v>6.7111111111111112</v>
      </c>
      <c r="G6" s="37">
        <v>0.19309999999999999</v>
      </c>
      <c r="H6" s="37">
        <v>0.30730000000000002</v>
      </c>
      <c r="I6" s="38">
        <f t="shared" si="1"/>
        <v>0.11420000000000002</v>
      </c>
      <c r="J6" s="39">
        <f t="shared" si="3"/>
        <v>6.3444444444444459</v>
      </c>
      <c r="L6" s="37">
        <v>0.20130000000000001</v>
      </c>
      <c r="M6" s="37">
        <v>0.3296</v>
      </c>
      <c r="N6" s="38">
        <f t="shared" si="2"/>
        <v>0.1283</v>
      </c>
      <c r="O6" s="39">
        <f t="shared" si="4"/>
        <v>7.1277777777777782</v>
      </c>
    </row>
    <row r="7" spans="1:15" x14ac:dyDescent="0.25">
      <c r="A7" s="20" t="s">
        <v>87</v>
      </c>
      <c r="B7" s="37">
        <v>0.2056</v>
      </c>
      <c r="C7" s="37">
        <v>0.32100000000000001</v>
      </c>
      <c r="D7" s="38">
        <f t="shared" si="0"/>
        <v>0.1154</v>
      </c>
      <c r="E7" s="39">
        <f>(D7*1)/0.018</f>
        <v>6.4111111111111114</v>
      </c>
      <c r="G7" s="37">
        <v>0.19209999999999999</v>
      </c>
      <c r="H7" s="37">
        <v>0.317</v>
      </c>
      <c r="I7" s="38">
        <f t="shared" si="1"/>
        <v>0.12490000000000001</v>
      </c>
      <c r="J7" s="39">
        <f t="shared" si="3"/>
        <v>6.93888888888889</v>
      </c>
      <c r="L7" s="37">
        <v>0.20219999999999999</v>
      </c>
      <c r="M7" s="37">
        <v>0.32440000000000002</v>
      </c>
      <c r="N7" s="38">
        <f t="shared" si="2"/>
        <v>0.12220000000000003</v>
      </c>
      <c r="O7" s="39">
        <f t="shared" si="4"/>
        <v>6.7888888888888914</v>
      </c>
    </row>
    <row r="8" spans="1:15" x14ac:dyDescent="0.25">
      <c r="A8" s="77" t="s">
        <v>88</v>
      </c>
      <c r="B8" s="45">
        <v>0.21379999999999999</v>
      </c>
      <c r="C8" s="45">
        <v>0.30020000000000002</v>
      </c>
      <c r="D8" s="47">
        <f t="shared" si="0"/>
        <v>8.6400000000000032E-2</v>
      </c>
      <c r="E8" s="78">
        <f>(D8*1)/0.018</f>
        <v>4.8000000000000025</v>
      </c>
      <c r="G8" s="45">
        <v>0.2185</v>
      </c>
      <c r="H8" s="45">
        <v>0.28539999999999999</v>
      </c>
      <c r="I8" s="47">
        <f t="shared" si="1"/>
        <v>6.6899999999999987E-2</v>
      </c>
      <c r="J8" s="78">
        <f>(I8*1)/0.018</f>
        <v>3.7166666666666663</v>
      </c>
      <c r="L8" s="45">
        <v>0.187</v>
      </c>
      <c r="M8" s="45">
        <v>0.2581</v>
      </c>
      <c r="N8" s="47">
        <f t="shared" si="2"/>
        <v>7.1099999999999997E-2</v>
      </c>
      <c r="O8" s="78">
        <f>(N8*1)/0.018</f>
        <v>3.95</v>
      </c>
    </row>
    <row r="9" spans="1:15" x14ac:dyDescent="0.25">
      <c r="A9" s="77" t="s">
        <v>26</v>
      </c>
      <c r="B9" s="45">
        <v>0.19819999999999999</v>
      </c>
      <c r="C9" s="45">
        <v>0.29609999999999997</v>
      </c>
      <c r="D9" s="47">
        <f t="shared" si="0"/>
        <v>9.7899999999999987E-2</v>
      </c>
      <c r="E9" s="78">
        <f t="shared" ref="E9:E11" si="6">(D9*1)/0.018</f>
        <v>5.4388888888888882</v>
      </c>
      <c r="G9" s="45">
        <v>0.21560000000000001</v>
      </c>
      <c r="H9" s="45">
        <v>0.31719999999999998</v>
      </c>
      <c r="I9" s="47">
        <f t="shared" si="1"/>
        <v>0.10159999999999997</v>
      </c>
      <c r="J9" s="78">
        <f t="shared" ref="J9:J12" si="7">(I9*1)/0.018</f>
        <v>5.644444444444443</v>
      </c>
      <c r="L9" s="45">
        <v>0.20749999999999999</v>
      </c>
      <c r="M9" s="45">
        <v>0.30509999999999998</v>
      </c>
      <c r="N9" s="47">
        <f t="shared" si="2"/>
        <v>9.7599999999999992E-2</v>
      </c>
      <c r="O9" s="78">
        <f t="shared" ref="O9:O12" si="8">(N9*1)/0.018</f>
        <v>5.4222222222222225</v>
      </c>
    </row>
    <row r="10" spans="1:15" x14ac:dyDescent="0.25">
      <c r="A10" s="77" t="s">
        <v>89</v>
      </c>
      <c r="B10" s="45">
        <v>0.20760000000000001</v>
      </c>
      <c r="C10" s="45">
        <v>0.26790000000000003</v>
      </c>
      <c r="D10" s="47">
        <f t="shared" si="0"/>
        <v>6.030000000000002E-2</v>
      </c>
      <c r="E10" s="78">
        <f t="shared" si="6"/>
        <v>3.3500000000000014</v>
      </c>
      <c r="G10" s="45">
        <v>0.1973</v>
      </c>
      <c r="H10" s="45">
        <v>0.26600000000000001</v>
      </c>
      <c r="I10" s="47">
        <f t="shared" si="1"/>
        <v>6.8700000000000011E-2</v>
      </c>
      <c r="J10" s="78">
        <f t="shared" si="7"/>
        <v>3.8166666666666678</v>
      </c>
      <c r="L10" s="45">
        <v>0.20480000000000001</v>
      </c>
      <c r="M10" s="45">
        <v>0.2626</v>
      </c>
      <c r="N10" s="47">
        <f t="shared" si="2"/>
        <v>5.779999999999999E-2</v>
      </c>
      <c r="O10" s="78">
        <f t="shared" si="8"/>
        <v>3.2111111111111108</v>
      </c>
    </row>
    <row r="11" spans="1:15" x14ac:dyDescent="0.25">
      <c r="A11" s="77" t="s">
        <v>90</v>
      </c>
      <c r="B11" s="45">
        <v>0.22320000000000001</v>
      </c>
      <c r="C11" s="45">
        <v>0.27489999999999998</v>
      </c>
      <c r="D11" s="47">
        <f t="shared" si="0"/>
        <v>5.1699999999999968E-2</v>
      </c>
      <c r="E11" s="78">
        <f t="shared" si="6"/>
        <v>2.8722222222222205</v>
      </c>
      <c r="G11" s="45">
        <v>0.20699999999999999</v>
      </c>
      <c r="H11" s="45">
        <v>0.24809999999999999</v>
      </c>
      <c r="I11" s="47">
        <f t="shared" si="1"/>
        <v>4.1099999999999998E-2</v>
      </c>
      <c r="J11" s="78">
        <f t="shared" si="7"/>
        <v>2.2833333333333332</v>
      </c>
      <c r="L11" s="45">
        <v>0.20219999999999999</v>
      </c>
      <c r="M11" s="45">
        <v>0.25569999999999998</v>
      </c>
      <c r="N11" s="47">
        <f t="shared" si="2"/>
        <v>5.3499999999999992E-2</v>
      </c>
      <c r="O11" s="78">
        <f t="shared" si="8"/>
        <v>2.9722222222222219</v>
      </c>
    </row>
    <row r="12" spans="1:15" x14ac:dyDescent="0.25">
      <c r="A12" s="77" t="s">
        <v>91</v>
      </c>
      <c r="B12" s="45">
        <v>0.20050000000000001</v>
      </c>
      <c r="C12" s="45">
        <v>0.25159999999999999</v>
      </c>
      <c r="D12" s="47">
        <f t="shared" si="0"/>
        <v>5.1099999999999979E-2</v>
      </c>
      <c r="E12" s="78">
        <f>(D12*1)/0.018</f>
        <v>2.8388888888888881</v>
      </c>
      <c r="G12" s="45">
        <v>0.2039</v>
      </c>
      <c r="H12" s="45">
        <v>0.25109999999999999</v>
      </c>
      <c r="I12" s="47">
        <f t="shared" si="1"/>
        <v>4.7199999999999992E-2</v>
      </c>
      <c r="J12" s="78">
        <f t="shared" si="7"/>
        <v>2.6222222222222218</v>
      </c>
      <c r="L12" s="45">
        <v>0.19670000000000001</v>
      </c>
      <c r="M12" s="45">
        <v>0.24440000000000001</v>
      </c>
      <c r="N12" s="47">
        <f t="shared" si="2"/>
        <v>4.7699999999999992E-2</v>
      </c>
      <c r="O12" s="78">
        <f t="shared" si="8"/>
        <v>2.65</v>
      </c>
    </row>
    <row r="14" spans="1:15" x14ac:dyDescent="0.25">
      <c r="A14" s="80"/>
      <c r="B14" s="87" t="s">
        <v>92</v>
      </c>
      <c r="C14" s="87" t="s">
        <v>93</v>
      </c>
      <c r="D14" s="88" t="s">
        <v>94</v>
      </c>
      <c r="E14" s="88" t="s">
        <v>27</v>
      </c>
      <c r="F14" s="88" t="s">
        <v>95</v>
      </c>
    </row>
    <row r="15" spans="1:15" x14ac:dyDescent="0.25">
      <c r="A15" s="19" t="s">
        <v>293</v>
      </c>
      <c r="B15" s="27">
        <v>4.3499999999999996</v>
      </c>
      <c r="C15" s="27">
        <v>4.1399999999999997</v>
      </c>
      <c r="D15" s="27">
        <v>5.04</v>
      </c>
      <c r="E15" s="28">
        <f>AVERAGE(B15:D15)</f>
        <v>4.5099999999999989</v>
      </c>
      <c r="F15" s="28">
        <f>STDEV(B15:D15)</f>
        <v>0.47085029467974232</v>
      </c>
    </row>
    <row r="16" spans="1:15" x14ac:dyDescent="0.25">
      <c r="A16" s="20" t="s">
        <v>84</v>
      </c>
      <c r="B16" s="27">
        <v>5.07</v>
      </c>
      <c r="C16" s="27">
        <v>4.82</v>
      </c>
      <c r="D16" s="27">
        <v>5.31</v>
      </c>
      <c r="E16" s="28">
        <f t="shared" ref="E16:E25" si="9">AVERAGE(B16:D16)</f>
        <v>5.0666666666666664</v>
      </c>
      <c r="F16" s="28">
        <f t="shared" ref="F16:F25" si="10">STDEV(B16:D16)</f>
        <v>0.24501700621249367</v>
      </c>
    </row>
    <row r="17" spans="1:7" x14ac:dyDescent="0.25">
      <c r="A17" s="20" t="s">
        <v>83</v>
      </c>
      <c r="B17" s="27">
        <v>5.43</v>
      </c>
      <c r="C17" s="27">
        <v>4.91</v>
      </c>
      <c r="D17" s="27">
        <v>5.31</v>
      </c>
      <c r="E17" s="28">
        <f t="shared" si="9"/>
        <v>5.2166666666666659</v>
      </c>
      <c r="F17" s="28">
        <f t="shared" si="10"/>
        <v>0.27227437142216154</v>
      </c>
    </row>
    <row r="18" spans="1:7" x14ac:dyDescent="0.25">
      <c r="A18" s="20" t="s">
        <v>85</v>
      </c>
      <c r="B18" s="27">
        <v>5.34</v>
      </c>
      <c r="C18" s="27">
        <v>5.28</v>
      </c>
      <c r="D18" s="27">
        <v>5.96</v>
      </c>
      <c r="E18" s="28">
        <f t="shared" si="9"/>
        <v>5.5266666666666673</v>
      </c>
      <c r="F18" s="28">
        <f t="shared" si="10"/>
        <v>0.37647487742654656</v>
      </c>
    </row>
    <row r="19" spans="1:7" x14ac:dyDescent="0.25">
      <c r="A19" s="20" t="s">
        <v>86</v>
      </c>
      <c r="B19" s="27">
        <v>6.71</v>
      </c>
      <c r="C19" s="27">
        <v>6.34</v>
      </c>
      <c r="D19" s="27">
        <v>7.13</v>
      </c>
      <c r="E19" s="28">
        <f t="shared" si="9"/>
        <v>6.7266666666666666</v>
      </c>
      <c r="F19" s="28">
        <f t="shared" si="10"/>
        <v>0.39526362510776697</v>
      </c>
      <c r="G19" s="34"/>
    </row>
    <row r="20" spans="1:7" x14ac:dyDescent="0.25">
      <c r="A20" s="20" t="s">
        <v>87</v>
      </c>
      <c r="B20" s="27">
        <v>6.41</v>
      </c>
      <c r="C20" s="27">
        <v>6.94</v>
      </c>
      <c r="D20" s="27">
        <v>6.79</v>
      </c>
      <c r="E20" s="28">
        <f t="shared" si="9"/>
        <v>6.7133333333333338</v>
      </c>
      <c r="F20" s="28">
        <f t="shared" si="10"/>
        <v>0.27319101986217148</v>
      </c>
      <c r="G20" s="34"/>
    </row>
    <row r="21" spans="1:7" x14ac:dyDescent="0.25">
      <c r="A21" s="77" t="s">
        <v>88</v>
      </c>
      <c r="B21" s="27">
        <v>4.8</v>
      </c>
      <c r="C21" s="27">
        <v>3.72</v>
      </c>
      <c r="D21" s="27">
        <v>3.95</v>
      </c>
      <c r="E21" s="28">
        <f t="shared" si="9"/>
        <v>4.1566666666666663</v>
      </c>
      <c r="F21" s="28">
        <f t="shared" si="10"/>
        <v>0.56888780381841286</v>
      </c>
      <c r="G21" s="34"/>
    </row>
    <row r="22" spans="1:7" x14ac:dyDescent="0.25">
      <c r="A22" s="77" t="s">
        <v>26</v>
      </c>
      <c r="B22" s="27">
        <v>5.44</v>
      </c>
      <c r="C22" s="27">
        <v>5.64</v>
      </c>
      <c r="D22" s="27">
        <v>5.42</v>
      </c>
      <c r="E22" s="28">
        <f t="shared" si="9"/>
        <v>5.5</v>
      </c>
      <c r="F22" s="28">
        <f t="shared" si="10"/>
        <v>0.12165525060596415</v>
      </c>
    </row>
    <row r="23" spans="1:7" x14ac:dyDescent="0.25">
      <c r="A23" s="77" t="s">
        <v>89</v>
      </c>
      <c r="B23" s="27">
        <v>3.35</v>
      </c>
      <c r="C23" s="27">
        <v>3.82</v>
      </c>
      <c r="D23" s="27">
        <v>3.21</v>
      </c>
      <c r="E23" s="28">
        <f t="shared" si="9"/>
        <v>3.4599999999999995</v>
      </c>
      <c r="F23" s="28">
        <f t="shared" si="10"/>
        <v>0.31953090617340907</v>
      </c>
    </row>
    <row r="24" spans="1:7" x14ac:dyDescent="0.25">
      <c r="A24" s="77" t="s">
        <v>90</v>
      </c>
      <c r="B24" s="27">
        <v>2.87</v>
      </c>
      <c r="C24" s="27">
        <v>2.2799999999999998</v>
      </c>
      <c r="D24" s="27">
        <v>2.97</v>
      </c>
      <c r="E24" s="28">
        <f t="shared" si="9"/>
        <v>2.706666666666667</v>
      </c>
      <c r="F24" s="28">
        <f t="shared" si="10"/>
        <v>0.37287173844813182</v>
      </c>
      <c r="G24" s="35"/>
    </row>
    <row r="25" spans="1:7" x14ac:dyDescent="0.25">
      <c r="A25" s="77" t="s">
        <v>91</v>
      </c>
      <c r="B25" s="27">
        <v>2.8</v>
      </c>
      <c r="C25" s="27">
        <v>2.7</v>
      </c>
      <c r="D25" s="27">
        <v>2.6</v>
      </c>
      <c r="E25" s="28">
        <f t="shared" si="9"/>
        <v>2.6999999999999997</v>
      </c>
      <c r="F25" s="28">
        <f t="shared" si="10"/>
        <v>9.9999999999999867E-2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2830C-32E4-4817-8D3B-410093ED1CF4}">
  <dimension ref="A1:X49"/>
  <sheetViews>
    <sheetView zoomScale="73" workbookViewId="0">
      <selection activeCell="R22" sqref="R22"/>
    </sheetView>
  </sheetViews>
  <sheetFormatPr defaultColWidth="8.85546875" defaultRowHeight="15" x14ac:dyDescent="0.25"/>
  <cols>
    <col min="1" max="1" width="38.42578125" style="32" customWidth="1"/>
    <col min="2" max="2" width="16.140625" style="32" customWidth="1"/>
    <col min="3" max="3" width="12.7109375" style="32" customWidth="1"/>
    <col min="4" max="4" width="15" style="32" customWidth="1"/>
    <col min="5" max="6" width="8.85546875" style="32"/>
    <col min="7" max="7" width="37.7109375" style="32" customWidth="1"/>
    <col min="8" max="8" width="15.42578125" style="32" customWidth="1"/>
    <col min="9" max="9" width="12.5703125" style="32" customWidth="1"/>
    <col min="10" max="10" width="13.85546875" style="32" customWidth="1"/>
    <col min="11" max="12" width="8.85546875" style="32"/>
    <col min="13" max="13" width="41" style="32" customWidth="1"/>
    <col min="14" max="14" width="16.140625" style="32" customWidth="1"/>
    <col min="15" max="15" width="12.5703125" style="32" customWidth="1"/>
    <col min="16" max="16" width="13.42578125" style="32" customWidth="1"/>
    <col min="17" max="18" width="8.85546875" style="32"/>
    <col min="19" max="19" width="38.7109375" style="32" customWidth="1"/>
    <col min="20" max="20" width="8.85546875" style="32" customWidth="1"/>
    <col min="21" max="16384" width="8.85546875" style="32"/>
  </cols>
  <sheetData>
    <row r="1" spans="1:24" x14ac:dyDescent="0.25">
      <c r="A1" s="21"/>
      <c r="B1" s="26" t="s">
        <v>315</v>
      </c>
      <c r="C1" s="27" t="s">
        <v>316</v>
      </c>
      <c r="D1" s="27" t="s">
        <v>317</v>
      </c>
      <c r="G1" s="21"/>
      <c r="H1" s="26" t="s">
        <v>315</v>
      </c>
      <c r="I1" s="27" t="s">
        <v>316</v>
      </c>
      <c r="J1" s="27" t="s">
        <v>317</v>
      </c>
      <c r="M1" s="21"/>
      <c r="N1" s="26" t="s">
        <v>315</v>
      </c>
      <c r="O1" s="27" t="s">
        <v>316</v>
      </c>
      <c r="P1" s="27" t="s">
        <v>317</v>
      </c>
      <c r="S1" s="21"/>
      <c r="T1" s="79" t="s">
        <v>318</v>
      </c>
      <c r="U1" s="79" t="s">
        <v>95</v>
      </c>
    </row>
    <row r="2" spans="1:24" x14ac:dyDescent="0.25">
      <c r="A2" s="18" t="s">
        <v>295</v>
      </c>
      <c r="B2" s="23">
        <v>65.913390000000007</v>
      </c>
      <c r="C2" s="24">
        <f>(B2*100%)/B17</f>
        <v>8.5824726562500009E-2</v>
      </c>
      <c r="D2" s="24">
        <f>100%-C2</f>
        <v>0.91417527343749994</v>
      </c>
      <c r="G2" s="18" t="s">
        <v>295</v>
      </c>
      <c r="H2" s="23">
        <v>77.784419999999997</v>
      </c>
      <c r="I2" s="24">
        <f>(H2*100%)/H17</f>
        <v>0.10483075471698113</v>
      </c>
      <c r="J2" s="24">
        <f t="shared" ref="J2:J16" si="0">100%-I2</f>
        <v>0.89516924528301889</v>
      </c>
      <c r="M2" s="18" t="s">
        <v>295</v>
      </c>
      <c r="N2" s="23">
        <v>95.754707999999994</v>
      </c>
      <c r="O2" s="24">
        <f>(N2*100%)/N17</f>
        <v>9.4619276679841893E-2</v>
      </c>
      <c r="P2" s="24">
        <f t="shared" ref="P2:P16" si="1">100%-O2</f>
        <v>0.90538072332015807</v>
      </c>
      <c r="Q2" s="42"/>
      <c r="S2" s="18" t="s">
        <v>295</v>
      </c>
      <c r="T2" s="28">
        <v>9.51</v>
      </c>
      <c r="U2" s="28">
        <v>0.95</v>
      </c>
      <c r="V2" s="42"/>
      <c r="W2" s="42"/>
      <c r="X2" s="42"/>
    </row>
    <row r="3" spans="1:24" x14ac:dyDescent="0.25">
      <c r="A3" s="15" t="s">
        <v>96</v>
      </c>
      <c r="B3" s="23">
        <v>79.645349999999993</v>
      </c>
      <c r="C3" s="24">
        <f t="shared" ref="C3:C16" si="2">(B3*100%)/B18</f>
        <v>9.784441031941031E-2</v>
      </c>
      <c r="D3" s="24">
        <f t="shared" ref="D3:D16" si="3">100%-C3</f>
        <v>0.90215558968058973</v>
      </c>
      <c r="G3" s="15" t="s">
        <v>96</v>
      </c>
      <c r="H3" s="23">
        <v>82.691760000000002</v>
      </c>
      <c r="I3" s="24">
        <f>(H3*100%)/H18</f>
        <v>0.10109017114914426</v>
      </c>
      <c r="J3" s="24">
        <f t="shared" si="0"/>
        <v>0.89890982885085569</v>
      </c>
      <c r="M3" s="15" t="s">
        <v>96</v>
      </c>
      <c r="N3" s="23">
        <v>78.68535</v>
      </c>
      <c r="O3" s="24">
        <f>(N3*100%)/N18</f>
        <v>9.9224905422446399E-2</v>
      </c>
      <c r="P3" s="24">
        <f t="shared" si="1"/>
        <v>0.90077509457755356</v>
      </c>
      <c r="Q3" s="42"/>
      <c r="S3" s="15" t="s">
        <v>96</v>
      </c>
      <c r="T3" s="28">
        <v>9.94</v>
      </c>
      <c r="U3" s="28">
        <v>0.17</v>
      </c>
      <c r="V3" s="42"/>
      <c r="W3" s="42"/>
      <c r="X3" s="42"/>
    </row>
    <row r="4" spans="1:24" x14ac:dyDescent="0.25">
      <c r="A4" s="15" t="s">
        <v>97</v>
      </c>
      <c r="B4" s="23">
        <v>101.61648</v>
      </c>
      <c r="C4" s="24">
        <f t="shared" si="2"/>
        <v>0.12407384615384615</v>
      </c>
      <c r="D4" s="24">
        <f t="shared" si="3"/>
        <v>0.8759261538461538</v>
      </c>
      <c r="G4" s="15" t="s">
        <v>97</v>
      </c>
      <c r="H4" s="23">
        <v>93.089990999999998</v>
      </c>
      <c r="I4" s="24">
        <f>(H4*100%)/H19</f>
        <v>0.12168626274509804</v>
      </c>
      <c r="J4" s="24">
        <f t="shared" si="0"/>
        <v>0.87831373725490192</v>
      </c>
      <c r="M4" s="15" t="s">
        <v>97</v>
      </c>
      <c r="N4" s="23">
        <v>120.000621</v>
      </c>
      <c r="O4" s="24">
        <f>(N4*100%)/N19</f>
        <v>0.13468083164983163</v>
      </c>
      <c r="P4" s="24">
        <f t="shared" si="1"/>
        <v>0.86531916835016842</v>
      </c>
      <c r="Q4" s="42"/>
      <c r="S4" s="15" t="s">
        <v>97</v>
      </c>
      <c r="T4" s="28">
        <v>12.86</v>
      </c>
      <c r="U4" s="28">
        <v>0.55000000000000004</v>
      </c>
      <c r="V4" s="42"/>
      <c r="W4" s="42"/>
      <c r="X4" s="42"/>
    </row>
    <row r="5" spans="1:24" x14ac:dyDescent="0.25">
      <c r="A5" s="16" t="s">
        <v>98</v>
      </c>
      <c r="B5" s="23">
        <v>49.385579999999997</v>
      </c>
      <c r="C5" s="24">
        <f t="shared" si="2"/>
        <v>6.6647206477732784E-2</v>
      </c>
      <c r="D5" s="24">
        <f t="shared" si="3"/>
        <v>0.93335279352226719</v>
      </c>
      <c r="G5" s="16" t="s">
        <v>98</v>
      </c>
      <c r="H5" s="23">
        <v>67.793520000000001</v>
      </c>
      <c r="I5" s="24">
        <f>(H5-100%)/H20</f>
        <v>7.8396150234741779E-2</v>
      </c>
      <c r="J5" s="24">
        <f t="shared" si="0"/>
        <v>0.92160384976525822</v>
      </c>
      <c r="M5" s="16" t="s">
        <v>98</v>
      </c>
      <c r="N5" s="23">
        <v>64.058351999999999</v>
      </c>
      <c r="O5" s="24">
        <f>(N5-100%)/N20</f>
        <v>7.0456259217877099E-2</v>
      </c>
      <c r="P5" s="24">
        <f t="shared" si="1"/>
        <v>0.92954374078212287</v>
      </c>
      <c r="Q5" s="42"/>
      <c r="S5" s="16" t="s">
        <v>98</v>
      </c>
      <c r="T5" s="28">
        <v>7.18</v>
      </c>
      <c r="U5" s="28">
        <v>0.6</v>
      </c>
      <c r="V5" s="42"/>
      <c r="W5" s="42"/>
      <c r="X5" s="42"/>
    </row>
    <row r="6" spans="1:24" x14ac:dyDescent="0.25">
      <c r="A6" s="16" t="s">
        <v>99</v>
      </c>
      <c r="B6" s="23">
        <v>86.724419999999995</v>
      </c>
      <c r="C6" s="24">
        <f t="shared" si="2"/>
        <v>0.11092916346891789</v>
      </c>
      <c r="D6" s="24">
        <f t="shared" si="3"/>
        <v>0.8890708365310821</v>
      </c>
      <c r="G6" s="16" t="s">
        <v>99</v>
      </c>
      <c r="H6" s="23">
        <v>97.342259999999996</v>
      </c>
      <c r="I6" s="24">
        <f t="shared" ref="I6:I16" si="4">(H6*100%)/H21</f>
        <v>0.12035393175074184</v>
      </c>
      <c r="J6" s="24">
        <f t="shared" si="0"/>
        <v>0.87964606824925817</v>
      </c>
      <c r="M6" s="16" t="s">
        <v>99</v>
      </c>
      <c r="N6" s="23">
        <v>109.184226</v>
      </c>
      <c r="O6" s="24">
        <f t="shared" ref="O6:O16" si="5">(N6*100%)/N21</f>
        <v>0.10748594802126403</v>
      </c>
      <c r="P6" s="24">
        <f t="shared" si="1"/>
        <v>0.89251405197873601</v>
      </c>
      <c r="Q6" s="42"/>
      <c r="S6" s="16" t="s">
        <v>99</v>
      </c>
      <c r="T6" s="28">
        <v>11.29</v>
      </c>
      <c r="U6" s="28">
        <v>0.67</v>
      </c>
      <c r="V6" s="42"/>
      <c r="W6" s="42"/>
      <c r="X6" s="42"/>
    </row>
    <row r="7" spans="1:24" x14ac:dyDescent="0.25">
      <c r="A7" s="17" t="s">
        <v>100</v>
      </c>
      <c r="B7" s="25">
        <v>9.8699999999999992</v>
      </c>
      <c r="C7" s="24">
        <f t="shared" si="2"/>
        <v>1.0021321961620469E-2</v>
      </c>
      <c r="D7" s="24">
        <f t="shared" si="3"/>
        <v>0.98997867803837958</v>
      </c>
      <c r="G7" s="17" t="s">
        <v>100</v>
      </c>
      <c r="H7" s="25">
        <v>9.6</v>
      </c>
      <c r="I7" s="40">
        <f t="shared" si="4"/>
        <v>9.9812850904553961E-3</v>
      </c>
      <c r="J7" s="40">
        <f t="shared" si="0"/>
        <v>0.99001871490954463</v>
      </c>
      <c r="M7" s="17" t="s">
        <v>100</v>
      </c>
      <c r="N7" s="25">
        <v>9.7799999999999994</v>
      </c>
      <c r="O7" s="40">
        <f t="shared" si="5"/>
        <v>0.01</v>
      </c>
      <c r="P7" s="40">
        <f t="shared" si="1"/>
        <v>0.99</v>
      </c>
      <c r="Q7" s="42"/>
      <c r="S7" s="17" t="s">
        <v>100</v>
      </c>
      <c r="T7" s="28">
        <v>1</v>
      </c>
      <c r="U7" s="28">
        <v>6.0000000000000001E-3</v>
      </c>
      <c r="V7" s="42"/>
      <c r="W7" s="42"/>
      <c r="X7" s="42"/>
    </row>
    <row r="8" spans="1:24" x14ac:dyDescent="0.25">
      <c r="A8" s="17" t="s">
        <v>101</v>
      </c>
      <c r="B8" s="25">
        <v>167.04</v>
      </c>
      <c r="C8" s="24">
        <f t="shared" si="2"/>
        <v>0.19702760084925691</v>
      </c>
      <c r="D8" s="24">
        <f t="shared" si="3"/>
        <v>0.80297239915074314</v>
      </c>
      <c r="G8" s="17" t="s">
        <v>101</v>
      </c>
      <c r="H8" s="25">
        <v>155.99969999999999</v>
      </c>
      <c r="I8" s="40">
        <f t="shared" si="4"/>
        <v>0.21001575121163166</v>
      </c>
      <c r="J8" s="40">
        <f t="shared" si="0"/>
        <v>0.78998424878836837</v>
      </c>
      <c r="M8" s="17" t="s">
        <v>101</v>
      </c>
      <c r="N8" s="25">
        <v>183.68969999999999</v>
      </c>
      <c r="O8" s="40">
        <f t="shared" si="5"/>
        <v>0.20595324587958291</v>
      </c>
      <c r="P8" s="40">
        <f t="shared" si="1"/>
        <v>0.79404675412041703</v>
      </c>
      <c r="Q8" s="42"/>
      <c r="S8" s="17" t="s">
        <v>101</v>
      </c>
      <c r="T8" s="28">
        <v>20.43</v>
      </c>
      <c r="U8" s="28">
        <v>0.67</v>
      </c>
      <c r="V8" s="42"/>
      <c r="W8" s="42"/>
      <c r="X8" s="42"/>
    </row>
    <row r="9" spans="1:24" x14ac:dyDescent="0.25">
      <c r="A9" s="16" t="s">
        <v>102</v>
      </c>
      <c r="B9" s="23">
        <v>83.820599999999999</v>
      </c>
      <c r="C9" s="24">
        <f t="shared" si="2"/>
        <v>0.11102066225165563</v>
      </c>
      <c r="D9" s="24">
        <f t="shared" si="3"/>
        <v>0.88897933774834437</v>
      </c>
      <c r="G9" s="16" t="s">
        <v>102</v>
      </c>
      <c r="H9" s="23">
        <v>106.29371999999999</v>
      </c>
      <c r="I9" s="24">
        <f t="shared" si="4"/>
        <v>0.12288291329479768</v>
      </c>
      <c r="J9" s="24">
        <f t="shared" si="0"/>
        <v>0.87711708670520228</v>
      </c>
      <c r="M9" s="16" t="s">
        <v>102</v>
      </c>
      <c r="N9" s="23">
        <v>91.773719999999997</v>
      </c>
      <c r="O9" s="24">
        <f t="shared" si="5"/>
        <v>0.11471714999999999</v>
      </c>
      <c r="P9" s="24">
        <f t="shared" si="1"/>
        <v>0.88528285000000007</v>
      </c>
      <c r="Q9" s="42"/>
      <c r="S9" s="16" t="s">
        <v>102</v>
      </c>
      <c r="T9" s="28">
        <v>11.63</v>
      </c>
      <c r="U9" s="28">
        <v>0.61</v>
      </c>
      <c r="V9" s="42"/>
      <c r="W9" s="42"/>
      <c r="X9" s="42"/>
    </row>
    <row r="10" spans="1:24" x14ac:dyDescent="0.25">
      <c r="A10" s="16" t="s">
        <v>103</v>
      </c>
      <c r="B10" s="23">
        <v>94.690529999999995</v>
      </c>
      <c r="C10" s="24">
        <f t="shared" si="2"/>
        <v>0.11313086021505375</v>
      </c>
      <c r="D10" s="24">
        <f t="shared" si="3"/>
        <v>0.88686913978494619</v>
      </c>
      <c r="G10" s="16" t="s">
        <v>103</v>
      </c>
      <c r="H10" s="23">
        <v>106.92627</v>
      </c>
      <c r="I10" s="24">
        <f t="shared" si="4"/>
        <v>0.15192706734867861</v>
      </c>
      <c r="J10" s="24">
        <f t="shared" si="0"/>
        <v>0.84807293265132144</v>
      </c>
      <c r="M10" s="16" t="s">
        <v>103</v>
      </c>
      <c r="N10" s="23">
        <v>122.47499999999999</v>
      </c>
      <c r="O10" s="24">
        <f t="shared" si="5"/>
        <v>0.14408993046977023</v>
      </c>
      <c r="P10" s="24">
        <f t="shared" si="1"/>
        <v>0.85591006953022974</v>
      </c>
      <c r="Q10" s="42"/>
      <c r="S10" s="16" t="s">
        <v>103</v>
      </c>
      <c r="T10" s="28">
        <v>13.64</v>
      </c>
      <c r="U10" s="28">
        <v>2.0499999999999998</v>
      </c>
      <c r="V10" s="42"/>
      <c r="W10" s="42"/>
      <c r="X10" s="42"/>
    </row>
    <row r="11" spans="1:24" x14ac:dyDescent="0.25">
      <c r="A11" s="16" t="s">
        <v>104</v>
      </c>
      <c r="B11" s="23">
        <v>121.20896999999999</v>
      </c>
      <c r="C11" s="24">
        <f t="shared" si="2"/>
        <v>0.14799630036630035</v>
      </c>
      <c r="D11" s="24">
        <f t="shared" si="3"/>
        <v>0.85200369963369971</v>
      </c>
      <c r="G11" s="16" t="s">
        <v>104</v>
      </c>
      <c r="H11" s="23">
        <v>104.79062999999999</v>
      </c>
      <c r="I11" s="24">
        <f t="shared" si="4"/>
        <v>0.13883231319554848</v>
      </c>
      <c r="J11" s="24">
        <f t="shared" si="0"/>
        <v>0.86116768680445155</v>
      </c>
      <c r="M11" s="16" t="s">
        <v>104</v>
      </c>
      <c r="N11" s="23">
        <v>126.72063</v>
      </c>
      <c r="O11" s="24">
        <f t="shared" si="5"/>
        <v>0.1401931961500166</v>
      </c>
      <c r="P11" s="24">
        <f t="shared" si="1"/>
        <v>0.85980680384998343</v>
      </c>
      <c r="Q11" s="42"/>
      <c r="S11" s="16" t="s">
        <v>104</v>
      </c>
      <c r="T11" s="28">
        <v>14.23</v>
      </c>
      <c r="U11" s="28">
        <v>0.5</v>
      </c>
      <c r="V11" s="42"/>
      <c r="W11" s="42"/>
      <c r="X11" s="42"/>
    </row>
    <row r="12" spans="1:24" x14ac:dyDescent="0.25">
      <c r="A12" s="16" t="s">
        <v>105</v>
      </c>
      <c r="B12" s="23">
        <v>107.56701</v>
      </c>
      <c r="C12" s="24">
        <f t="shared" si="2"/>
        <v>0.16677055813953487</v>
      </c>
      <c r="D12" s="24">
        <f t="shared" si="3"/>
        <v>0.8332294418604651</v>
      </c>
      <c r="G12" s="16" t="s">
        <v>105</v>
      </c>
      <c r="H12" s="23">
        <v>116.72166</v>
      </c>
      <c r="I12" s="24">
        <f t="shared" si="4"/>
        <v>0.16347571428571428</v>
      </c>
      <c r="J12" s="24">
        <f t="shared" si="0"/>
        <v>0.83652428571428572</v>
      </c>
      <c r="M12" s="16" t="s">
        <v>105</v>
      </c>
      <c r="N12" s="23">
        <v>135.12366</v>
      </c>
      <c r="O12" s="24">
        <f t="shared" si="5"/>
        <v>0.16831547085201795</v>
      </c>
      <c r="P12" s="24">
        <f t="shared" si="1"/>
        <v>0.83168452914798208</v>
      </c>
      <c r="Q12" s="42"/>
      <c r="S12" s="16" t="s">
        <v>105</v>
      </c>
      <c r="T12" s="28">
        <v>16.350000000000001</v>
      </c>
      <c r="U12" s="28">
        <v>0.33</v>
      </c>
      <c r="V12" s="42"/>
      <c r="W12" s="42"/>
      <c r="X12" s="42"/>
    </row>
    <row r="13" spans="1:24" ht="21" customHeight="1" x14ac:dyDescent="0.25">
      <c r="A13" s="17" t="s">
        <v>106</v>
      </c>
      <c r="B13" s="25">
        <v>24</v>
      </c>
      <c r="C13" s="24">
        <f t="shared" si="2"/>
        <v>3.1372549019607843E-2</v>
      </c>
      <c r="D13" s="24">
        <f t="shared" si="3"/>
        <v>0.96862745098039216</v>
      </c>
      <c r="E13" s="41"/>
      <c r="G13" s="17" t="s">
        <v>106</v>
      </c>
      <c r="H13" s="25">
        <v>26.61</v>
      </c>
      <c r="I13" s="40">
        <f t="shared" si="4"/>
        <v>2.9177631578947368E-2</v>
      </c>
      <c r="J13" s="40">
        <f t="shared" si="0"/>
        <v>0.97082236842105263</v>
      </c>
      <c r="M13" s="17" t="s">
        <v>106</v>
      </c>
      <c r="N13" s="25">
        <v>29.76</v>
      </c>
      <c r="O13" s="40">
        <f t="shared" si="5"/>
        <v>3.1194968553459122E-2</v>
      </c>
      <c r="P13" s="40">
        <f t="shared" si="1"/>
        <v>0.96880503144654084</v>
      </c>
      <c r="Q13" s="42"/>
      <c r="S13" s="17" t="s">
        <v>106</v>
      </c>
      <c r="T13" s="28">
        <v>3.06</v>
      </c>
      <c r="U13" s="28">
        <v>0.12</v>
      </c>
      <c r="V13" s="42"/>
      <c r="W13" s="42"/>
      <c r="X13" s="42"/>
    </row>
    <row r="14" spans="1:24" ht="18.600000000000001" customHeight="1" x14ac:dyDescent="0.25">
      <c r="A14" s="17" t="s">
        <v>107</v>
      </c>
      <c r="B14" s="25">
        <v>32.94</v>
      </c>
      <c r="C14" s="24">
        <f t="shared" si="2"/>
        <v>4.2020665901262917E-2</v>
      </c>
      <c r="D14" s="24">
        <f t="shared" si="3"/>
        <v>0.95797933409873703</v>
      </c>
      <c r="E14" s="41"/>
      <c r="G14" s="17" t="s">
        <v>107</v>
      </c>
      <c r="H14" s="25">
        <v>34.86</v>
      </c>
      <c r="I14" s="40">
        <f t="shared" si="4"/>
        <v>4.4986449864498644E-2</v>
      </c>
      <c r="J14" s="40">
        <f>100%-I14</f>
        <v>0.95501355013550138</v>
      </c>
      <c r="M14" s="17" t="s">
        <v>107</v>
      </c>
      <c r="N14" s="25">
        <v>46.65</v>
      </c>
      <c r="O14" s="40">
        <f t="shared" si="5"/>
        <v>5.8174335952113729E-2</v>
      </c>
      <c r="P14" s="40">
        <f t="shared" si="1"/>
        <v>0.94182566404788626</v>
      </c>
      <c r="Q14" s="42"/>
      <c r="S14" s="17" t="s">
        <v>107</v>
      </c>
      <c r="T14" s="28">
        <v>4.84</v>
      </c>
      <c r="U14" s="28">
        <v>0.86</v>
      </c>
      <c r="V14" s="42"/>
      <c r="W14" s="42"/>
      <c r="X14" s="42"/>
    </row>
    <row r="15" spans="1:24" x14ac:dyDescent="0.25">
      <c r="A15" s="17" t="s">
        <v>108</v>
      </c>
      <c r="B15" s="25">
        <v>135.30000000000001</v>
      </c>
      <c r="C15" s="24">
        <f t="shared" si="2"/>
        <v>0.13303834808259588</v>
      </c>
      <c r="D15" s="24">
        <f t="shared" si="3"/>
        <v>0.86696165191740415</v>
      </c>
      <c r="E15" s="41"/>
      <c r="G15" s="17" t="s">
        <v>108</v>
      </c>
      <c r="H15" s="25">
        <v>128.88</v>
      </c>
      <c r="I15" s="40">
        <f t="shared" si="4"/>
        <v>0.16631823461091755</v>
      </c>
      <c r="J15" s="40">
        <f t="shared" si="0"/>
        <v>0.83368176538908245</v>
      </c>
      <c r="M15" s="17" t="s">
        <v>108</v>
      </c>
      <c r="N15" s="25">
        <v>139.88999999999999</v>
      </c>
      <c r="O15" s="40">
        <f t="shared" si="5"/>
        <v>0.14499378109452735</v>
      </c>
      <c r="P15" s="40">
        <f t="shared" si="1"/>
        <v>0.85500621890547268</v>
      </c>
      <c r="Q15" s="42"/>
      <c r="S15" s="17" t="s">
        <v>108</v>
      </c>
      <c r="T15" s="28">
        <v>14.81</v>
      </c>
      <c r="U15" s="28">
        <v>1.69</v>
      </c>
      <c r="V15" s="42"/>
      <c r="W15" s="42"/>
      <c r="X15" s="42"/>
    </row>
    <row r="16" spans="1:24" x14ac:dyDescent="0.25">
      <c r="A16" s="17" t="s">
        <v>109</v>
      </c>
      <c r="B16" s="25">
        <v>106.2</v>
      </c>
      <c r="C16" s="24">
        <f t="shared" si="2"/>
        <v>0.14297253634894994</v>
      </c>
      <c r="D16" s="24">
        <f t="shared" si="3"/>
        <v>0.85702746365105009</v>
      </c>
      <c r="E16" s="41"/>
      <c r="G16" s="17" t="s">
        <v>109</v>
      </c>
      <c r="H16" s="25">
        <v>175.2</v>
      </c>
      <c r="I16" s="40">
        <f t="shared" si="4"/>
        <v>0.17196702002355713</v>
      </c>
      <c r="J16" s="40">
        <f t="shared" si="0"/>
        <v>0.82803297997644287</v>
      </c>
      <c r="M16" s="17" t="s">
        <v>109</v>
      </c>
      <c r="N16" s="25">
        <v>159.75</v>
      </c>
      <c r="O16" s="40">
        <f t="shared" si="5"/>
        <v>0.16904761904761906</v>
      </c>
      <c r="P16" s="40">
        <f t="shared" si="1"/>
        <v>0.83095238095238089</v>
      </c>
      <c r="Q16" s="42"/>
      <c r="S16" s="17" t="s">
        <v>109</v>
      </c>
      <c r="T16" s="28">
        <v>16.13</v>
      </c>
      <c r="U16" s="28">
        <v>1.59</v>
      </c>
      <c r="V16" s="42"/>
      <c r="W16" s="42"/>
      <c r="X16" s="42"/>
    </row>
    <row r="17" spans="1:21" x14ac:dyDescent="0.25">
      <c r="A17" s="18" t="s">
        <v>110</v>
      </c>
      <c r="B17" s="23">
        <v>768</v>
      </c>
      <c r="C17" s="27"/>
      <c r="D17" s="27"/>
      <c r="G17" s="18" t="s">
        <v>110</v>
      </c>
      <c r="H17" s="23">
        <v>742</v>
      </c>
      <c r="I17" s="27"/>
      <c r="J17" s="27"/>
      <c r="M17" s="18" t="s">
        <v>110</v>
      </c>
      <c r="N17" s="27">
        <v>1012</v>
      </c>
      <c r="O17" s="27"/>
      <c r="P17" s="27"/>
      <c r="S17" s="22"/>
      <c r="U17" s="42"/>
    </row>
    <row r="18" spans="1:21" x14ac:dyDescent="0.25">
      <c r="A18" s="15" t="s">
        <v>111</v>
      </c>
      <c r="B18" s="27">
        <v>814</v>
      </c>
      <c r="C18" s="27"/>
      <c r="D18" s="27"/>
      <c r="G18" s="15" t="s">
        <v>111</v>
      </c>
      <c r="H18" s="27">
        <v>818</v>
      </c>
      <c r="I18" s="27"/>
      <c r="J18" s="27"/>
      <c r="M18" s="15" t="s">
        <v>111</v>
      </c>
      <c r="N18" s="27">
        <v>793</v>
      </c>
      <c r="O18" s="27"/>
      <c r="P18" s="27"/>
      <c r="S18" s="22"/>
    </row>
    <row r="19" spans="1:21" x14ac:dyDescent="0.25">
      <c r="A19" s="15" t="s">
        <v>112</v>
      </c>
      <c r="B19" s="27">
        <v>819</v>
      </c>
      <c r="C19" s="27"/>
      <c r="D19" s="27"/>
      <c r="G19" s="15" t="s">
        <v>112</v>
      </c>
      <c r="H19" s="27">
        <v>765</v>
      </c>
      <c r="I19" s="27"/>
      <c r="J19" s="27"/>
      <c r="M19" s="15" t="s">
        <v>112</v>
      </c>
      <c r="N19" s="27">
        <v>891</v>
      </c>
      <c r="O19" s="27"/>
      <c r="P19" s="27"/>
      <c r="S19" s="22"/>
    </row>
    <row r="20" spans="1:21" x14ac:dyDescent="0.25">
      <c r="A20" s="16" t="s">
        <v>113</v>
      </c>
      <c r="B20" s="27">
        <v>741</v>
      </c>
      <c r="C20" s="27"/>
      <c r="D20" s="27"/>
      <c r="G20" s="16" t="s">
        <v>113</v>
      </c>
      <c r="H20" s="27">
        <v>852</v>
      </c>
      <c r="I20" s="27"/>
      <c r="J20" s="27"/>
      <c r="M20" s="16" t="s">
        <v>113</v>
      </c>
      <c r="N20" s="27">
        <v>895</v>
      </c>
      <c r="O20" s="27"/>
      <c r="P20" s="27"/>
      <c r="S20" s="22"/>
    </row>
    <row r="21" spans="1:21" x14ac:dyDescent="0.25">
      <c r="A21" s="16" t="s">
        <v>114</v>
      </c>
      <c r="B21" s="27">
        <v>781.8</v>
      </c>
      <c r="C21" s="27"/>
      <c r="D21" s="27"/>
      <c r="G21" s="16" t="s">
        <v>114</v>
      </c>
      <c r="H21" s="27">
        <v>808.8</v>
      </c>
      <c r="I21" s="27"/>
      <c r="J21" s="27"/>
      <c r="M21" s="16" t="s">
        <v>114</v>
      </c>
      <c r="N21" s="27">
        <v>1015.8</v>
      </c>
      <c r="O21" s="27"/>
      <c r="P21" s="27"/>
      <c r="S21" s="22"/>
    </row>
    <row r="22" spans="1:21" x14ac:dyDescent="0.25">
      <c r="A22" s="17" t="s">
        <v>115</v>
      </c>
      <c r="B22" s="27">
        <v>984.9</v>
      </c>
      <c r="C22" s="27"/>
      <c r="D22" s="27"/>
      <c r="G22" s="17" t="s">
        <v>115</v>
      </c>
      <c r="H22" s="27">
        <v>961.8</v>
      </c>
      <c r="I22" s="27"/>
      <c r="J22" s="27"/>
      <c r="M22" s="17" t="s">
        <v>115</v>
      </c>
      <c r="N22" s="27">
        <v>978</v>
      </c>
      <c r="O22" s="27"/>
      <c r="P22" s="27"/>
      <c r="S22" s="22"/>
    </row>
    <row r="23" spans="1:21" x14ac:dyDescent="0.25">
      <c r="A23" s="17" t="s">
        <v>116</v>
      </c>
      <c r="B23" s="27">
        <v>847.8</v>
      </c>
      <c r="C23" s="27"/>
      <c r="D23" s="27"/>
      <c r="G23" s="17" t="s">
        <v>116</v>
      </c>
      <c r="H23" s="27">
        <v>742.8</v>
      </c>
      <c r="I23" s="27"/>
      <c r="J23" s="27"/>
      <c r="M23" s="17" t="s">
        <v>116</v>
      </c>
      <c r="N23" s="27">
        <v>891.9</v>
      </c>
      <c r="O23" s="27"/>
      <c r="P23" s="27"/>
      <c r="S23" s="22"/>
    </row>
    <row r="24" spans="1:21" x14ac:dyDescent="0.25">
      <c r="A24" s="16" t="s">
        <v>117</v>
      </c>
      <c r="B24" s="27">
        <v>755</v>
      </c>
      <c r="C24" s="27"/>
      <c r="D24" s="27"/>
      <c r="G24" s="16" t="s">
        <v>117</v>
      </c>
      <c r="H24" s="27">
        <v>865</v>
      </c>
      <c r="I24" s="27"/>
      <c r="J24" s="27"/>
      <c r="M24" s="16" t="s">
        <v>117</v>
      </c>
      <c r="N24" s="27">
        <v>800</v>
      </c>
      <c r="O24" s="27"/>
      <c r="P24" s="27"/>
      <c r="S24" s="22"/>
    </row>
    <row r="25" spans="1:21" x14ac:dyDescent="0.25">
      <c r="A25" s="16" t="s">
        <v>118</v>
      </c>
      <c r="B25" s="27">
        <v>837</v>
      </c>
      <c r="C25" s="27"/>
      <c r="D25" s="27"/>
      <c r="G25" s="16" t="s">
        <v>118</v>
      </c>
      <c r="H25" s="27">
        <v>703.8</v>
      </c>
      <c r="I25" s="27"/>
      <c r="J25" s="27"/>
      <c r="M25" s="16" t="s">
        <v>118</v>
      </c>
      <c r="N25" s="27">
        <v>849.99</v>
      </c>
      <c r="O25" s="27"/>
      <c r="P25" s="27"/>
      <c r="S25" s="22"/>
    </row>
    <row r="26" spans="1:21" x14ac:dyDescent="0.25">
      <c r="A26" s="16" t="s">
        <v>119</v>
      </c>
      <c r="B26" s="27">
        <v>819</v>
      </c>
      <c r="C26" s="27"/>
      <c r="D26" s="27"/>
      <c r="G26" s="16" t="s">
        <v>119</v>
      </c>
      <c r="H26" s="27">
        <v>754.8</v>
      </c>
      <c r="I26" s="27"/>
      <c r="J26" s="27"/>
      <c r="M26" s="16" t="s">
        <v>119</v>
      </c>
      <c r="N26" s="27">
        <v>903.9</v>
      </c>
      <c r="O26" s="27"/>
      <c r="P26" s="27"/>
      <c r="S26" s="22"/>
    </row>
    <row r="27" spans="1:21" x14ac:dyDescent="0.25">
      <c r="A27" s="16" t="s">
        <v>120</v>
      </c>
      <c r="B27" s="27">
        <v>645</v>
      </c>
      <c r="C27" s="27"/>
      <c r="D27" s="27"/>
      <c r="G27" s="16" t="s">
        <v>120</v>
      </c>
      <c r="H27" s="27">
        <v>714</v>
      </c>
      <c r="I27" s="27"/>
      <c r="J27" s="27"/>
      <c r="M27" s="16" t="s">
        <v>120</v>
      </c>
      <c r="N27" s="27">
        <v>802.8</v>
      </c>
      <c r="O27" s="27"/>
      <c r="P27" s="27"/>
      <c r="S27" s="22"/>
    </row>
    <row r="28" spans="1:21" x14ac:dyDescent="0.25">
      <c r="A28" s="17" t="s">
        <v>121</v>
      </c>
      <c r="B28" s="27">
        <v>765</v>
      </c>
      <c r="C28" s="27"/>
      <c r="D28" s="27"/>
      <c r="G28" s="17" t="s">
        <v>121</v>
      </c>
      <c r="H28" s="27">
        <v>912</v>
      </c>
      <c r="I28" s="27"/>
      <c r="J28" s="27"/>
      <c r="M28" s="17" t="s">
        <v>121</v>
      </c>
      <c r="N28" s="27">
        <v>954</v>
      </c>
      <c r="O28" s="27"/>
      <c r="P28" s="27"/>
      <c r="S28" s="22"/>
    </row>
    <row r="29" spans="1:21" x14ac:dyDescent="0.25">
      <c r="A29" s="17" t="s">
        <v>122</v>
      </c>
      <c r="B29" s="27">
        <v>783.9</v>
      </c>
      <c r="C29" s="27"/>
      <c r="D29" s="27"/>
      <c r="G29" s="17" t="s">
        <v>122</v>
      </c>
      <c r="H29" s="27">
        <v>774.9</v>
      </c>
      <c r="I29" s="27"/>
      <c r="J29" s="27"/>
      <c r="M29" s="17" t="s">
        <v>122</v>
      </c>
      <c r="N29" s="27">
        <v>801.9</v>
      </c>
      <c r="O29" s="27"/>
      <c r="P29" s="27"/>
      <c r="S29" s="22"/>
    </row>
    <row r="30" spans="1:21" x14ac:dyDescent="0.25">
      <c r="A30" s="17" t="s">
        <v>123</v>
      </c>
      <c r="B30" s="27">
        <v>1017</v>
      </c>
      <c r="C30" s="27"/>
      <c r="D30" s="27"/>
      <c r="G30" s="17" t="s">
        <v>123</v>
      </c>
      <c r="H30" s="27">
        <v>774.9</v>
      </c>
      <c r="I30" s="27"/>
      <c r="J30" s="27"/>
      <c r="M30" s="17" t="s">
        <v>123</v>
      </c>
      <c r="N30" s="27">
        <v>964.8</v>
      </c>
      <c r="O30" s="27"/>
      <c r="P30" s="27"/>
      <c r="S30" s="22"/>
    </row>
    <row r="31" spans="1:21" x14ac:dyDescent="0.25">
      <c r="A31" s="17" t="s">
        <v>124</v>
      </c>
      <c r="B31" s="27">
        <v>742.8</v>
      </c>
      <c r="C31" s="27"/>
      <c r="D31" s="27"/>
      <c r="G31" s="17" t="s">
        <v>124</v>
      </c>
      <c r="H31" s="27">
        <v>1018.8</v>
      </c>
      <c r="I31" s="27"/>
      <c r="J31" s="27"/>
      <c r="M31" s="17" t="s">
        <v>124</v>
      </c>
      <c r="N31" s="27">
        <v>945</v>
      </c>
      <c r="O31" s="27"/>
      <c r="P31" s="27"/>
      <c r="S31" s="22"/>
    </row>
    <row r="32" spans="1:21" x14ac:dyDescent="0.25">
      <c r="A32" s="22"/>
      <c r="B32" s="34"/>
      <c r="C32" s="34"/>
      <c r="D32" s="34"/>
      <c r="G32" s="22"/>
      <c r="M32" s="22"/>
    </row>
    <row r="33" spans="1:22" x14ac:dyDescent="0.25">
      <c r="T33" s="29"/>
      <c r="U33" s="30" t="s">
        <v>319</v>
      </c>
      <c r="V33" s="31"/>
    </row>
    <row r="34" spans="1:22" ht="15.75" x14ac:dyDescent="0.25">
      <c r="A34" s="13"/>
      <c r="B34" s="27" t="s">
        <v>53</v>
      </c>
      <c r="C34" s="27" t="s">
        <v>54</v>
      </c>
      <c r="D34" s="27" t="s">
        <v>55</v>
      </c>
      <c r="G34" s="13"/>
      <c r="H34" s="27" t="s">
        <v>53</v>
      </c>
      <c r="I34" s="27" t="s">
        <v>54</v>
      </c>
      <c r="J34" s="27" t="s">
        <v>55</v>
      </c>
      <c r="M34" s="13"/>
      <c r="N34" s="27" t="s">
        <v>53</v>
      </c>
      <c r="O34" s="27" t="s">
        <v>54</v>
      </c>
      <c r="P34" s="27" t="s">
        <v>55</v>
      </c>
      <c r="S34" s="13"/>
      <c r="T34" s="27" t="s">
        <v>290</v>
      </c>
      <c r="U34" s="27" t="s">
        <v>291</v>
      </c>
      <c r="V34" s="27" t="s">
        <v>292</v>
      </c>
    </row>
    <row r="35" spans="1:22" x14ac:dyDescent="0.25">
      <c r="A35" s="18" t="s">
        <v>295</v>
      </c>
      <c r="B35" s="27">
        <v>0.03</v>
      </c>
      <c r="C35" s="27">
        <v>1</v>
      </c>
      <c r="D35" s="27">
        <v>0.7</v>
      </c>
      <c r="G35" s="18" t="s">
        <v>295</v>
      </c>
      <c r="H35" s="27">
        <v>0.01</v>
      </c>
      <c r="I35" s="27">
        <v>0.5</v>
      </c>
      <c r="J35" s="27">
        <v>0.5</v>
      </c>
      <c r="M35" s="18" t="s">
        <v>295</v>
      </c>
      <c r="N35" s="27">
        <v>0.05</v>
      </c>
      <c r="O35" s="27">
        <v>1.5</v>
      </c>
      <c r="P35" s="27">
        <v>0.81</v>
      </c>
      <c r="S35" s="18" t="s">
        <v>295</v>
      </c>
      <c r="T35" s="27">
        <v>0.03</v>
      </c>
      <c r="U35" s="27">
        <v>1</v>
      </c>
      <c r="V35" s="27">
        <v>0.67</v>
      </c>
    </row>
    <row r="36" spans="1:22" x14ac:dyDescent="0.25">
      <c r="A36" s="15" t="s">
        <v>96</v>
      </c>
      <c r="B36" s="27">
        <v>0.04</v>
      </c>
      <c r="C36" s="27">
        <v>0.85</v>
      </c>
      <c r="D36" s="27">
        <v>0.56999999999999995</v>
      </c>
      <c r="G36" s="15" t="s">
        <v>96</v>
      </c>
      <c r="H36" s="27">
        <v>0.02</v>
      </c>
      <c r="I36" s="27">
        <v>0.8</v>
      </c>
      <c r="J36" s="27">
        <v>0.5</v>
      </c>
      <c r="M36" s="15" t="s">
        <v>96</v>
      </c>
      <c r="N36" s="27">
        <v>0.06</v>
      </c>
      <c r="O36" s="27">
        <v>0.84</v>
      </c>
      <c r="P36" s="27">
        <v>0.64</v>
      </c>
      <c r="S36" s="15" t="s">
        <v>96</v>
      </c>
      <c r="T36" s="27">
        <v>0.04</v>
      </c>
      <c r="U36" s="27">
        <v>0.83</v>
      </c>
      <c r="V36" s="27">
        <v>0.56999999999999995</v>
      </c>
    </row>
    <row r="37" spans="1:22" x14ac:dyDescent="0.25">
      <c r="A37" s="15" t="s">
        <v>97</v>
      </c>
      <c r="B37" s="27">
        <v>0.08</v>
      </c>
      <c r="C37" s="27">
        <v>1.22</v>
      </c>
      <c r="D37" s="27">
        <v>0.7</v>
      </c>
      <c r="G37" s="15" t="s">
        <v>97</v>
      </c>
      <c r="H37" s="27">
        <v>7.0000000000000007E-2</v>
      </c>
      <c r="I37" s="27">
        <v>1.2</v>
      </c>
      <c r="J37" s="27">
        <v>0.7</v>
      </c>
      <c r="M37" s="15" t="s">
        <v>97</v>
      </c>
      <c r="N37" s="27">
        <v>0.09</v>
      </c>
      <c r="O37" s="27">
        <v>1.24</v>
      </c>
      <c r="P37" s="27">
        <v>0.7</v>
      </c>
      <c r="S37" s="15" t="s">
        <v>97</v>
      </c>
      <c r="T37" s="27">
        <v>0.08</v>
      </c>
      <c r="U37" s="27">
        <v>1.22</v>
      </c>
      <c r="V37" s="27">
        <v>0.7</v>
      </c>
    </row>
    <row r="38" spans="1:22" x14ac:dyDescent="0.25">
      <c r="A38" s="16" t="s">
        <v>98</v>
      </c>
      <c r="B38" s="27">
        <v>0.05</v>
      </c>
      <c r="C38" s="27">
        <v>0.76</v>
      </c>
      <c r="D38" s="27">
        <v>0.88</v>
      </c>
      <c r="G38" s="16" t="s">
        <v>98</v>
      </c>
      <c r="H38" s="27">
        <v>0.05</v>
      </c>
      <c r="I38" s="27">
        <v>0.7</v>
      </c>
      <c r="J38" s="27">
        <v>0.8</v>
      </c>
      <c r="M38" s="16" t="s">
        <v>98</v>
      </c>
      <c r="N38" s="27">
        <v>0.05</v>
      </c>
      <c r="O38" s="27">
        <v>0.82</v>
      </c>
      <c r="P38" s="27">
        <v>0.96</v>
      </c>
      <c r="S38" s="16" t="s">
        <v>98</v>
      </c>
      <c r="T38" s="27">
        <v>0.05</v>
      </c>
      <c r="U38" s="27">
        <v>0.76</v>
      </c>
      <c r="V38" s="27">
        <v>0.88</v>
      </c>
    </row>
    <row r="39" spans="1:22" x14ac:dyDescent="0.25">
      <c r="A39" s="16" t="s">
        <v>125</v>
      </c>
      <c r="B39" s="27">
        <v>0.05</v>
      </c>
      <c r="C39" s="27">
        <v>0.97</v>
      </c>
      <c r="D39" s="27">
        <v>1.02</v>
      </c>
      <c r="G39" s="16" t="s">
        <v>125</v>
      </c>
      <c r="H39" s="27">
        <v>0.05</v>
      </c>
      <c r="I39" s="27">
        <v>1</v>
      </c>
      <c r="J39" s="27">
        <v>1</v>
      </c>
      <c r="M39" s="16" t="s">
        <v>125</v>
      </c>
      <c r="N39" s="27">
        <v>0.05</v>
      </c>
      <c r="O39" s="27">
        <v>1</v>
      </c>
      <c r="P39" s="27">
        <v>1.04</v>
      </c>
      <c r="S39" s="16" t="s">
        <v>125</v>
      </c>
      <c r="T39" s="27">
        <v>0.05</v>
      </c>
      <c r="U39" s="27">
        <v>0.99</v>
      </c>
      <c r="V39" s="27">
        <v>1.02</v>
      </c>
    </row>
    <row r="40" spans="1:22" x14ac:dyDescent="0.25">
      <c r="A40" s="16" t="s">
        <v>126</v>
      </c>
      <c r="B40" s="27">
        <v>0.08</v>
      </c>
      <c r="C40" s="27">
        <v>1.1499999999999999</v>
      </c>
      <c r="D40" s="27">
        <v>1.1399999999999999</v>
      </c>
      <c r="G40" s="16" t="s">
        <v>126</v>
      </c>
      <c r="H40" s="27">
        <v>0.08</v>
      </c>
      <c r="I40" s="27">
        <v>1.1000000000000001</v>
      </c>
      <c r="J40" s="27">
        <v>1.1000000000000001</v>
      </c>
      <c r="M40" s="16" t="s">
        <v>126</v>
      </c>
      <c r="N40" s="27">
        <v>0.08</v>
      </c>
      <c r="O40" s="27">
        <v>1.2</v>
      </c>
      <c r="P40" s="27">
        <v>1.18</v>
      </c>
      <c r="S40" s="16" t="s">
        <v>126</v>
      </c>
      <c r="T40" s="27">
        <v>0.08</v>
      </c>
      <c r="U40" s="27">
        <v>1.1499999999999999</v>
      </c>
      <c r="V40" s="27">
        <v>1.1399999999999999</v>
      </c>
    </row>
    <row r="41" spans="1:22" x14ac:dyDescent="0.25">
      <c r="A41" s="16" t="s">
        <v>127</v>
      </c>
      <c r="B41" s="27">
        <v>7.0000000000000007E-2</v>
      </c>
      <c r="C41" s="27">
        <v>1.25</v>
      </c>
      <c r="D41" s="27">
        <v>1.35</v>
      </c>
      <c r="G41" s="16" t="s">
        <v>127</v>
      </c>
      <c r="H41" s="27">
        <v>7.0000000000000007E-2</v>
      </c>
      <c r="I41" s="27">
        <v>1.2</v>
      </c>
      <c r="J41" s="27">
        <v>1.38</v>
      </c>
      <c r="M41" s="16" t="s">
        <v>127</v>
      </c>
      <c r="N41" s="27">
        <v>7.0000000000000007E-2</v>
      </c>
      <c r="O41" s="27">
        <v>1.3</v>
      </c>
      <c r="P41" s="27">
        <v>1.2</v>
      </c>
      <c r="S41" s="16" t="s">
        <v>127</v>
      </c>
      <c r="T41" s="27">
        <v>7.0000000000000007E-2</v>
      </c>
      <c r="U41" s="27">
        <v>1.25</v>
      </c>
      <c r="V41" s="27">
        <v>1.31</v>
      </c>
    </row>
    <row r="42" spans="1:22" x14ac:dyDescent="0.25">
      <c r="A42" s="16" t="s">
        <v>128</v>
      </c>
      <c r="B42" s="27">
        <v>0.04</v>
      </c>
      <c r="C42" s="27">
        <v>1.3</v>
      </c>
      <c r="D42" s="27">
        <v>1.56</v>
      </c>
      <c r="G42" s="16" t="s">
        <v>128</v>
      </c>
      <c r="H42" s="27">
        <v>0.02</v>
      </c>
      <c r="I42" s="27">
        <v>1.5</v>
      </c>
      <c r="J42" s="27">
        <v>1.62</v>
      </c>
      <c r="M42" s="16" t="s">
        <v>128</v>
      </c>
      <c r="N42" s="27">
        <v>0.06</v>
      </c>
      <c r="O42" s="27">
        <v>1.64</v>
      </c>
      <c r="P42" s="27">
        <v>1.5</v>
      </c>
      <c r="S42" s="16" t="s">
        <v>128</v>
      </c>
      <c r="T42" s="27">
        <v>0.04</v>
      </c>
      <c r="U42" s="27">
        <v>1.48</v>
      </c>
      <c r="V42" s="27">
        <v>1.56</v>
      </c>
    </row>
    <row r="43" spans="1:22" x14ac:dyDescent="0.25">
      <c r="A43" s="16" t="s">
        <v>129</v>
      </c>
      <c r="B43" s="27">
        <v>0.06</v>
      </c>
      <c r="C43" s="27">
        <v>1.4</v>
      </c>
      <c r="D43" s="27">
        <v>1.76</v>
      </c>
      <c r="G43" s="16" t="s">
        <v>129</v>
      </c>
      <c r="H43" s="27">
        <v>0.05</v>
      </c>
      <c r="I43" s="27">
        <v>1.6</v>
      </c>
      <c r="J43" s="27">
        <v>1.7</v>
      </c>
      <c r="M43" s="16" t="s">
        <v>129</v>
      </c>
      <c r="N43" s="27">
        <v>7.0000000000000007E-2</v>
      </c>
      <c r="O43" s="27">
        <v>1.68</v>
      </c>
      <c r="P43" s="27">
        <v>1.82</v>
      </c>
      <c r="S43" s="16" t="s">
        <v>129</v>
      </c>
      <c r="T43" s="27">
        <v>0.06</v>
      </c>
      <c r="U43" s="27">
        <v>1.56</v>
      </c>
      <c r="V43" s="27">
        <v>1.76</v>
      </c>
    </row>
    <row r="44" spans="1:22" x14ac:dyDescent="0.25">
      <c r="A44" s="17" t="s">
        <v>130</v>
      </c>
      <c r="B44" s="27">
        <v>7.0000000000000007E-2</v>
      </c>
      <c r="C44" s="27">
        <v>1.5</v>
      </c>
      <c r="D44" s="27">
        <v>2</v>
      </c>
      <c r="G44" s="17" t="s">
        <v>130</v>
      </c>
      <c r="H44" s="27">
        <v>7.0000000000000007E-2</v>
      </c>
      <c r="I44" s="27">
        <v>1.6</v>
      </c>
      <c r="J44" s="27">
        <v>2.5</v>
      </c>
      <c r="M44" s="17" t="s">
        <v>130</v>
      </c>
      <c r="N44" s="27">
        <v>7.0000000000000007E-2</v>
      </c>
      <c r="O44" s="27">
        <v>1.67</v>
      </c>
      <c r="P44" s="27">
        <v>2.5499999999999998</v>
      </c>
      <c r="S44" s="17" t="s">
        <v>130</v>
      </c>
      <c r="T44" s="27">
        <v>7.0000000000000007E-2</v>
      </c>
      <c r="U44" s="27">
        <v>1.59</v>
      </c>
      <c r="V44" s="27">
        <v>2.35</v>
      </c>
    </row>
    <row r="45" spans="1:22" x14ac:dyDescent="0.25">
      <c r="A45" s="17" t="s">
        <v>131</v>
      </c>
      <c r="B45" s="27">
        <v>7.0000000000000007E-2</v>
      </c>
      <c r="C45" s="27">
        <v>1.74</v>
      </c>
      <c r="D45" s="27">
        <v>2.65</v>
      </c>
      <c r="G45" s="17" t="s">
        <v>131</v>
      </c>
      <c r="H45" s="27">
        <v>7.0000000000000007E-2</v>
      </c>
      <c r="I45" s="27">
        <v>0.74</v>
      </c>
      <c r="J45" s="27">
        <v>2.65</v>
      </c>
      <c r="M45" s="17" t="s">
        <v>131</v>
      </c>
      <c r="N45" s="27">
        <v>7.0000000000000007E-2</v>
      </c>
      <c r="O45" s="27">
        <v>2.74</v>
      </c>
      <c r="P45" s="27">
        <v>2.65</v>
      </c>
      <c r="S45" s="17" t="s">
        <v>131</v>
      </c>
      <c r="T45" s="27">
        <v>7.0000000000000007E-2</v>
      </c>
      <c r="U45" s="27">
        <v>1.74</v>
      </c>
      <c r="V45" s="27">
        <v>2.65</v>
      </c>
    </row>
    <row r="46" spans="1:22" x14ac:dyDescent="0.25">
      <c r="A46" s="17" t="s">
        <v>132</v>
      </c>
      <c r="B46" s="27">
        <v>0.1</v>
      </c>
      <c r="C46" s="27">
        <v>1.74</v>
      </c>
      <c r="D46" s="27">
        <v>2</v>
      </c>
      <c r="G46" s="17" t="s">
        <v>132</v>
      </c>
      <c r="H46" s="27">
        <v>0.1</v>
      </c>
      <c r="I46" s="27">
        <v>1.74</v>
      </c>
      <c r="J46" s="27">
        <v>3</v>
      </c>
      <c r="M46" s="17" t="s">
        <v>132</v>
      </c>
      <c r="N46" s="27">
        <v>0.13</v>
      </c>
      <c r="O46" s="27">
        <v>1.74</v>
      </c>
      <c r="P46" s="27">
        <v>3.34</v>
      </c>
      <c r="S46" s="17" t="s">
        <v>132</v>
      </c>
      <c r="T46" s="27">
        <v>0.11</v>
      </c>
      <c r="U46" s="27">
        <v>1.74</v>
      </c>
      <c r="V46" s="27">
        <v>2.78</v>
      </c>
    </row>
    <row r="47" spans="1:22" x14ac:dyDescent="0.25">
      <c r="A47" s="17" t="s">
        <v>133</v>
      </c>
      <c r="B47" s="27">
        <v>0.1</v>
      </c>
      <c r="C47" s="27">
        <v>2.4900000000000002</v>
      </c>
      <c r="D47" s="27">
        <v>3</v>
      </c>
      <c r="G47" s="17" t="s">
        <v>133</v>
      </c>
      <c r="H47" s="27">
        <v>0.1</v>
      </c>
      <c r="I47" s="27">
        <v>2.4900000000000002</v>
      </c>
      <c r="J47" s="27">
        <v>2</v>
      </c>
      <c r="M47" s="17" t="s">
        <v>133</v>
      </c>
      <c r="N47" s="27">
        <v>7.0000000000000007E-2</v>
      </c>
      <c r="O47" s="27">
        <v>2.4900000000000002</v>
      </c>
      <c r="P47" s="27">
        <v>3.64</v>
      </c>
      <c r="S47" s="17" t="s">
        <v>133</v>
      </c>
      <c r="T47" s="27">
        <v>0.09</v>
      </c>
      <c r="U47" s="27">
        <v>2.4900000000000002</v>
      </c>
      <c r="V47" s="27">
        <v>2.88</v>
      </c>
    </row>
    <row r="48" spans="1:22" x14ac:dyDescent="0.25">
      <c r="A48" s="17" t="s">
        <v>108</v>
      </c>
      <c r="B48" s="27">
        <v>0.11</v>
      </c>
      <c r="C48" s="27">
        <v>6</v>
      </c>
      <c r="D48" s="27">
        <v>4</v>
      </c>
      <c r="G48" s="17" t="s">
        <v>108</v>
      </c>
      <c r="H48" s="27">
        <v>0.11</v>
      </c>
      <c r="I48" s="27">
        <v>4</v>
      </c>
      <c r="J48" s="27">
        <v>3</v>
      </c>
      <c r="M48" s="17" t="s">
        <v>108</v>
      </c>
      <c r="N48" s="27">
        <v>0.11</v>
      </c>
      <c r="O48" s="27">
        <v>5.0599999999999996</v>
      </c>
      <c r="P48" s="27">
        <v>3.26</v>
      </c>
      <c r="S48" s="17" t="s">
        <v>108</v>
      </c>
      <c r="T48" s="27">
        <v>0.11</v>
      </c>
      <c r="U48" s="27">
        <v>5.0199999999999996</v>
      </c>
      <c r="V48" s="27">
        <v>3.42</v>
      </c>
    </row>
    <row r="49" spans="1:22" x14ac:dyDescent="0.25">
      <c r="A49" s="17" t="s">
        <v>109</v>
      </c>
      <c r="B49" s="27">
        <v>0.8</v>
      </c>
      <c r="C49" s="27">
        <v>5.63</v>
      </c>
      <c r="D49" s="27">
        <v>3.84</v>
      </c>
      <c r="G49" s="17" t="s">
        <v>109</v>
      </c>
      <c r="H49" s="27">
        <v>0.8</v>
      </c>
      <c r="I49" s="27">
        <v>5.63</v>
      </c>
      <c r="J49" s="27">
        <v>4</v>
      </c>
      <c r="M49" s="17" t="s">
        <v>109</v>
      </c>
      <c r="N49" s="27">
        <v>0.8</v>
      </c>
      <c r="O49" s="27">
        <v>5.63</v>
      </c>
      <c r="P49" s="27">
        <v>3.68</v>
      </c>
      <c r="S49" s="17" t="s">
        <v>109</v>
      </c>
      <c r="T49" s="27">
        <v>0.8</v>
      </c>
      <c r="U49" s="27">
        <v>5.63</v>
      </c>
      <c r="V49" s="27">
        <v>3.84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41227-A77B-450F-AAF8-BC2C0B6D0DAC}">
  <dimension ref="A1:S32"/>
  <sheetViews>
    <sheetView zoomScale="63" workbookViewId="0">
      <selection activeCell="B2" sqref="B2"/>
    </sheetView>
  </sheetViews>
  <sheetFormatPr defaultColWidth="8.85546875" defaultRowHeight="15" x14ac:dyDescent="0.25"/>
  <cols>
    <col min="1" max="1" width="40.7109375" style="32" customWidth="1"/>
    <col min="2" max="2" width="8.85546875" style="32"/>
    <col min="3" max="3" width="14.7109375" style="32" customWidth="1"/>
    <col min="4" max="4" width="10.85546875" style="32" customWidth="1"/>
    <col min="5" max="5" width="13.5703125" style="32" customWidth="1"/>
    <col min="6" max="7" width="8.85546875" style="32"/>
    <col min="8" max="8" width="18.140625" style="32" customWidth="1"/>
    <col min="9" max="9" width="11.28515625" style="32" customWidth="1"/>
    <col min="10" max="10" width="13.28515625" style="32" customWidth="1"/>
    <col min="11" max="12" width="8.85546875" style="32"/>
    <col min="13" max="13" width="17.7109375" style="32" customWidth="1"/>
    <col min="14" max="14" width="11.5703125" style="32" customWidth="1"/>
    <col min="15" max="15" width="13.7109375" style="32" customWidth="1"/>
    <col min="16" max="16" width="8.85546875" style="32"/>
    <col min="17" max="17" width="41.7109375" style="32" customWidth="1"/>
    <col min="18" max="18" width="11" style="32" customWidth="1"/>
    <col min="19" max="19" width="11.28515625" style="32" customWidth="1"/>
    <col min="20" max="16384" width="8.85546875" style="32"/>
  </cols>
  <sheetData>
    <row r="1" spans="1:19" x14ac:dyDescent="0.25">
      <c r="A1" s="82"/>
      <c r="B1" s="81" t="s">
        <v>321</v>
      </c>
      <c r="C1" s="50"/>
      <c r="D1" s="50"/>
      <c r="E1" s="50"/>
      <c r="G1" s="81" t="s">
        <v>322</v>
      </c>
      <c r="H1" s="81"/>
      <c r="I1" s="50"/>
      <c r="J1" s="50"/>
      <c r="L1" s="81" t="s">
        <v>323</v>
      </c>
      <c r="M1" s="81"/>
      <c r="N1" s="50"/>
      <c r="O1" s="50"/>
      <c r="Q1" s="83"/>
    </row>
    <row r="2" spans="1:19" x14ac:dyDescent="0.25">
      <c r="A2" s="21"/>
      <c r="B2" s="4" t="s">
        <v>324</v>
      </c>
      <c r="C2" s="4" t="s">
        <v>325</v>
      </c>
      <c r="D2" s="4" t="s">
        <v>313</v>
      </c>
      <c r="E2" s="4" t="s">
        <v>314</v>
      </c>
      <c r="G2" s="4" t="s">
        <v>324</v>
      </c>
      <c r="H2" s="4" t="s">
        <v>325</v>
      </c>
      <c r="I2" s="4" t="s">
        <v>313</v>
      </c>
      <c r="J2" s="4" t="s">
        <v>314</v>
      </c>
      <c r="L2" s="4" t="s">
        <v>324</v>
      </c>
      <c r="M2" s="4" t="s">
        <v>325</v>
      </c>
      <c r="N2" s="4" t="s">
        <v>313</v>
      </c>
      <c r="O2" s="4" t="s">
        <v>314</v>
      </c>
      <c r="Q2" s="4"/>
      <c r="R2" s="27" t="s">
        <v>320</v>
      </c>
      <c r="S2" s="27" t="s">
        <v>95</v>
      </c>
    </row>
    <row r="3" spans="1:19" ht="14.45" customHeight="1" x14ac:dyDescent="0.25">
      <c r="A3" s="18" t="s">
        <v>295</v>
      </c>
      <c r="B3" s="23">
        <v>0.1875</v>
      </c>
      <c r="C3" s="23">
        <v>0.26600000000000001</v>
      </c>
      <c r="D3" s="27">
        <f>C3-B3</f>
        <v>7.8500000000000014E-2</v>
      </c>
      <c r="E3" s="46">
        <f t="shared" ref="E3:E32" si="0">(D3*1)/0.018</f>
        <v>4.3611111111111125</v>
      </c>
      <c r="F3" s="34"/>
      <c r="G3" s="23">
        <v>0.18809999999999999</v>
      </c>
      <c r="H3" s="23">
        <v>0.29010000000000002</v>
      </c>
      <c r="I3" s="27">
        <f>H3-G3</f>
        <v>0.10200000000000004</v>
      </c>
      <c r="J3" s="46">
        <f t="shared" ref="J3:J32" si="1">(I3*1)/0.018</f>
        <v>5.6666666666666687</v>
      </c>
      <c r="K3" s="34"/>
      <c r="L3" s="84">
        <v>0.2316</v>
      </c>
      <c r="M3" s="23">
        <v>0.3291</v>
      </c>
      <c r="N3" s="36">
        <f>M3-L3</f>
        <v>9.7500000000000003E-2</v>
      </c>
      <c r="O3" s="85">
        <f t="shared" ref="O3:O32" si="2">N3/0.018</f>
        <v>5.416666666666667</v>
      </c>
      <c r="P3" s="34"/>
      <c r="Q3" s="18" t="s">
        <v>295</v>
      </c>
      <c r="R3" s="46">
        <f>AVERAGE(E3,J3,O3)</f>
        <v>5.1481481481481497</v>
      </c>
      <c r="S3" s="28">
        <f>STDEV(E3,J3,O3)</f>
        <v>0.69296137933583468</v>
      </c>
    </row>
    <row r="4" spans="1:19" ht="18" customHeight="1" x14ac:dyDescent="0.25">
      <c r="A4" s="15" t="s">
        <v>96</v>
      </c>
      <c r="B4" s="23">
        <v>0.2069</v>
      </c>
      <c r="C4" s="23">
        <v>0.33389999999999997</v>
      </c>
      <c r="D4" s="27">
        <f>C4-B4-0.05</f>
        <v>7.6999999999999971E-2</v>
      </c>
      <c r="E4" s="46">
        <f t="shared" si="0"/>
        <v>4.2777777777777768</v>
      </c>
      <c r="F4" s="34"/>
      <c r="G4" s="23">
        <v>0.19489999999999999</v>
      </c>
      <c r="H4" s="23">
        <v>0.34379999999999999</v>
      </c>
      <c r="I4" s="36">
        <f>H4-G4-0.05</f>
        <v>9.8900000000000002E-2</v>
      </c>
      <c r="J4" s="46">
        <f t="shared" si="1"/>
        <v>5.4944444444444454</v>
      </c>
      <c r="K4" s="34"/>
      <c r="L4" s="84">
        <v>0.21929999999999999</v>
      </c>
      <c r="M4" s="23">
        <v>0.35510000000000003</v>
      </c>
      <c r="N4" s="36">
        <f>M4-L4-0.05</f>
        <v>8.5800000000000029E-2</v>
      </c>
      <c r="O4" s="85">
        <f t="shared" si="2"/>
        <v>4.7666666666666684</v>
      </c>
      <c r="P4" s="34"/>
      <c r="Q4" s="15" t="s">
        <v>96</v>
      </c>
      <c r="R4" s="46">
        <f t="shared" ref="R4:R32" si="3">AVERAGE(E4,J4,O4)</f>
        <v>4.8462962962962974</v>
      </c>
      <c r="S4" s="28">
        <f t="shared" ref="S4:S31" si="4">STDEV(E4,J4,O4)</f>
        <v>0.61222961614140847</v>
      </c>
    </row>
    <row r="5" spans="1:19" ht="18.600000000000001" customHeight="1" x14ac:dyDescent="0.25">
      <c r="A5" s="15" t="s">
        <v>97</v>
      </c>
      <c r="B5" s="23">
        <v>0.20799999999999999</v>
      </c>
      <c r="C5" s="23">
        <v>0.38829999999999998</v>
      </c>
      <c r="D5" s="27">
        <f>C5-B5-0.1</f>
        <v>8.0299999999999983E-2</v>
      </c>
      <c r="E5" s="46">
        <f t="shared" si="0"/>
        <v>4.4611111111111104</v>
      </c>
      <c r="F5" s="34"/>
      <c r="G5" s="23">
        <v>0.2031</v>
      </c>
      <c r="H5" s="23">
        <v>0.39069999999999999</v>
      </c>
      <c r="I5" s="36">
        <f>H5-G5-0.1</f>
        <v>8.7599999999999983E-2</v>
      </c>
      <c r="J5" s="46">
        <f t="shared" si="1"/>
        <v>4.8666666666666663</v>
      </c>
      <c r="K5" s="34"/>
      <c r="L5" s="84">
        <v>0.21390000000000001</v>
      </c>
      <c r="M5" s="23">
        <v>0.39319999999999999</v>
      </c>
      <c r="N5" s="36">
        <f>M5-L5-0.1</f>
        <v>7.9299999999999982E-2</v>
      </c>
      <c r="O5" s="85">
        <f t="shared" si="2"/>
        <v>4.405555555555555</v>
      </c>
      <c r="P5" s="34"/>
      <c r="Q5" s="15" t="s">
        <v>97</v>
      </c>
      <c r="R5" s="46">
        <f t="shared" si="3"/>
        <v>4.5777777777777766</v>
      </c>
      <c r="S5" s="28">
        <f t="shared" si="4"/>
        <v>0.25172246131575993</v>
      </c>
    </row>
    <row r="6" spans="1:19" ht="16.899999999999999" customHeight="1" x14ac:dyDescent="0.25">
      <c r="A6" s="16" t="s">
        <v>98</v>
      </c>
      <c r="B6" s="23">
        <v>0.20030000000000001</v>
      </c>
      <c r="C6" s="23">
        <v>0.30299999999999999</v>
      </c>
      <c r="D6" s="27">
        <f>C6-B6</f>
        <v>0.10269999999999999</v>
      </c>
      <c r="E6" s="46">
        <f t="shared" si="0"/>
        <v>5.7055555555555548</v>
      </c>
      <c r="F6" s="34"/>
      <c r="G6" s="23">
        <v>0.1943</v>
      </c>
      <c r="H6" s="23">
        <v>0.30420000000000003</v>
      </c>
      <c r="I6" s="36">
        <f>H6-G6</f>
        <v>0.10990000000000003</v>
      </c>
      <c r="J6" s="46">
        <f t="shared" si="1"/>
        <v>6.1055555555555578</v>
      </c>
      <c r="K6" s="34"/>
      <c r="L6" s="84">
        <v>0.23080000000000001</v>
      </c>
      <c r="M6" s="23">
        <v>0.33489999999999998</v>
      </c>
      <c r="N6" s="36">
        <f>M6-L6</f>
        <v>0.10409999999999997</v>
      </c>
      <c r="O6" s="85">
        <f t="shared" si="2"/>
        <v>5.7833333333333323</v>
      </c>
      <c r="P6" s="34"/>
      <c r="Q6" s="16" t="s">
        <v>98</v>
      </c>
      <c r="R6" s="46">
        <f t="shared" si="3"/>
        <v>5.8648148148148147</v>
      </c>
      <c r="S6" s="28">
        <f t="shared" si="4"/>
        <v>0.21208353040326708</v>
      </c>
    </row>
    <row r="7" spans="1:19" ht="15.6" customHeight="1" x14ac:dyDescent="0.25">
      <c r="A7" s="16" t="s">
        <v>99</v>
      </c>
      <c r="B7" s="23">
        <v>0.1993</v>
      </c>
      <c r="C7" s="23">
        <v>0.32490000000000002</v>
      </c>
      <c r="D7" s="27">
        <f>C7-B7</f>
        <v>0.12560000000000002</v>
      </c>
      <c r="E7" s="46">
        <f t="shared" si="0"/>
        <v>6.9777777777777796</v>
      </c>
      <c r="F7" s="34"/>
      <c r="G7" s="23">
        <v>0.1857</v>
      </c>
      <c r="H7" s="23">
        <v>0.30940000000000001</v>
      </c>
      <c r="I7" s="36">
        <f>H7-G7</f>
        <v>0.1237</v>
      </c>
      <c r="J7" s="46">
        <f t="shared" si="1"/>
        <v>6.8722222222222227</v>
      </c>
      <c r="K7" s="34"/>
      <c r="L7" s="84">
        <v>0.21529999999999999</v>
      </c>
      <c r="M7" s="23">
        <v>0.32490000000000002</v>
      </c>
      <c r="N7" s="36">
        <f>M7-L7</f>
        <v>0.10960000000000003</v>
      </c>
      <c r="O7" s="85">
        <f t="shared" si="2"/>
        <v>6.0888888888888912</v>
      </c>
      <c r="P7" s="34"/>
      <c r="Q7" s="16" t="s">
        <v>99</v>
      </c>
      <c r="R7" s="46">
        <f t="shared" si="3"/>
        <v>6.6462962962962981</v>
      </c>
      <c r="S7" s="28">
        <f t="shared" si="4"/>
        <v>0.48560555721866028</v>
      </c>
    </row>
    <row r="8" spans="1:19" ht="15.6" customHeight="1" x14ac:dyDescent="0.25">
      <c r="A8" s="17" t="s">
        <v>100</v>
      </c>
      <c r="B8" s="23">
        <v>0.20730000000000001</v>
      </c>
      <c r="C8" s="23">
        <v>0.30080000000000001</v>
      </c>
      <c r="D8" s="27">
        <f>C8-B8</f>
        <v>9.35E-2</v>
      </c>
      <c r="E8" s="46">
        <f t="shared" si="0"/>
        <v>5.1944444444444446</v>
      </c>
      <c r="F8" s="34"/>
      <c r="G8" s="23">
        <v>0.18959999999999999</v>
      </c>
      <c r="H8" s="23">
        <v>0.28410000000000002</v>
      </c>
      <c r="I8" s="36">
        <f>H8-G8</f>
        <v>9.4500000000000028E-2</v>
      </c>
      <c r="J8" s="46">
        <f t="shared" si="1"/>
        <v>5.2500000000000018</v>
      </c>
      <c r="K8" s="34"/>
      <c r="L8" s="84">
        <v>0.22459999999999999</v>
      </c>
      <c r="M8" s="23">
        <v>0.33789999999999998</v>
      </c>
      <c r="N8" s="36">
        <f>M8-L8</f>
        <v>0.11329999999999998</v>
      </c>
      <c r="O8" s="85">
        <f t="shared" si="2"/>
        <v>6.2944444444444443</v>
      </c>
      <c r="P8" s="34"/>
      <c r="Q8" s="17" t="s">
        <v>100</v>
      </c>
      <c r="R8" s="46">
        <f t="shared" si="3"/>
        <v>5.5796296296296299</v>
      </c>
      <c r="S8" s="28">
        <f t="shared" si="4"/>
        <v>0.61967069443965506</v>
      </c>
    </row>
    <row r="9" spans="1:19" ht="19.149999999999999" customHeight="1" x14ac:dyDescent="0.25">
      <c r="A9" s="17" t="s">
        <v>101</v>
      </c>
      <c r="B9" s="23">
        <v>0.2104</v>
      </c>
      <c r="C9" s="23">
        <v>0.2908</v>
      </c>
      <c r="D9" s="27">
        <f>C9-B9</f>
        <v>8.0399999999999999E-2</v>
      </c>
      <c r="E9" s="46">
        <f t="shared" si="0"/>
        <v>4.4666666666666668</v>
      </c>
      <c r="F9" s="34"/>
      <c r="G9" s="23">
        <v>0.17899999999999999</v>
      </c>
      <c r="H9" s="23">
        <v>0.26250000000000001</v>
      </c>
      <c r="I9" s="36">
        <f>H9-G9</f>
        <v>8.3500000000000019E-2</v>
      </c>
      <c r="J9" s="46">
        <f t="shared" si="1"/>
        <v>4.6388888888888902</v>
      </c>
      <c r="K9" s="34"/>
      <c r="L9" s="84">
        <v>0.23369999999999999</v>
      </c>
      <c r="M9" s="23">
        <v>0.31900000000000001</v>
      </c>
      <c r="N9" s="36">
        <f>M9-L9</f>
        <v>8.5300000000000015E-2</v>
      </c>
      <c r="O9" s="85">
        <f t="shared" si="2"/>
        <v>4.7388888888888898</v>
      </c>
      <c r="P9" s="34"/>
      <c r="Q9" s="17" t="s">
        <v>101</v>
      </c>
      <c r="R9" s="46">
        <f t="shared" si="3"/>
        <v>4.6148148148148165</v>
      </c>
      <c r="S9" s="28">
        <f t="shared" si="4"/>
        <v>0.13769860329645456</v>
      </c>
    </row>
    <row r="10" spans="1:19" ht="18.600000000000001" customHeight="1" x14ac:dyDescent="0.25">
      <c r="A10" s="16" t="s">
        <v>102</v>
      </c>
      <c r="B10" s="23">
        <v>0.21609999999999999</v>
      </c>
      <c r="C10" s="23">
        <v>0.3589</v>
      </c>
      <c r="D10" s="27">
        <f>C10-B10-0.05</f>
        <v>9.2800000000000007E-2</v>
      </c>
      <c r="E10" s="46">
        <f t="shared" si="0"/>
        <v>5.1555555555555568</v>
      </c>
      <c r="F10" s="34"/>
      <c r="G10" s="23">
        <v>0.19089999999999999</v>
      </c>
      <c r="H10" s="23">
        <v>0.3342</v>
      </c>
      <c r="I10" s="86">
        <f>H10-G10-0.05</f>
        <v>9.3300000000000008E-2</v>
      </c>
      <c r="J10" s="46">
        <f t="shared" si="1"/>
        <v>5.1833333333333345</v>
      </c>
      <c r="K10" s="34"/>
      <c r="L10" s="84">
        <v>0.21659999999999999</v>
      </c>
      <c r="M10" s="23">
        <v>0.36559999999999998</v>
      </c>
      <c r="N10" s="36">
        <f>M10-L10-0.05</f>
        <v>9.8999999999999991E-2</v>
      </c>
      <c r="O10" s="85">
        <f t="shared" si="2"/>
        <v>5.5</v>
      </c>
      <c r="P10" s="34"/>
      <c r="Q10" s="16" t="s">
        <v>102</v>
      </c>
      <c r="R10" s="46">
        <f t="shared" si="3"/>
        <v>5.279629629629631</v>
      </c>
      <c r="S10" s="28">
        <f t="shared" si="4"/>
        <v>0.19135105522951343</v>
      </c>
    </row>
    <row r="11" spans="1:19" ht="16.899999999999999" customHeight="1" x14ac:dyDescent="0.25">
      <c r="A11" s="16" t="s">
        <v>103</v>
      </c>
      <c r="B11" s="23">
        <v>0.21840000000000001</v>
      </c>
      <c r="C11" s="23">
        <v>0.4128</v>
      </c>
      <c r="D11" s="27">
        <f>C11-B11-0.1</f>
        <v>9.4399999999999984E-2</v>
      </c>
      <c r="E11" s="46">
        <f t="shared" si="0"/>
        <v>5.2444444444444436</v>
      </c>
      <c r="F11" s="34"/>
      <c r="G11" s="23">
        <v>0.19650000000000001</v>
      </c>
      <c r="H11" s="23">
        <v>0.4002</v>
      </c>
      <c r="I11" s="86">
        <f>H11-G11-0.1</f>
        <v>0.10369999999999999</v>
      </c>
      <c r="J11" s="46">
        <f t="shared" si="1"/>
        <v>5.7611111111111111</v>
      </c>
      <c r="K11" s="34"/>
      <c r="L11" s="84">
        <v>0.22819999999999999</v>
      </c>
      <c r="M11" s="23">
        <v>0.41849999999999998</v>
      </c>
      <c r="N11" s="36">
        <f>M11-L11-0.1</f>
        <v>9.0299999999999991E-2</v>
      </c>
      <c r="O11" s="85">
        <f t="shared" si="2"/>
        <v>5.0166666666666666</v>
      </c>
      <c r="P11" s="34"/>
      <c r="Q11" s="16" t="s">
        <v>103</v>
      </c>
      <c r="R11" s="46">
        <f t="shared" si="3"/>
        <v>5.340740740740741</v>
      </c>
      <c r="S11" s="28">
        <f t="shared" si="4"/>
        <v>0.38145001668152739</v>
      </c>
    </row>
    <row r="12" spans="1:19" ht="16.149999999999999" customHeight="1" x14ac:dyDescent="0.25">
      <c r="A12" s="16" t="s">
        <v>104</v>
      </c>
      <c r="B12" s="23">
        <v>0.2286</v>
      </c>
      <c r="C12" s="23">
        <v>0.39290000000000003</v>
      </c>
      <c r="D12" s="27">
        <f>C12-B12-0.05</f>
        <v>0.11430000000000003</v>
      </c>
      <c r="E12" s="46">
        <f t="shared" si="0"/>
        <v>6.3500000000000023</v>
      </c>
      <c r="F12" s="34"/>
      <c r="G12" s="23">
        <v>0.1908</v>
      </c>
      <c r="H12" s="23">
        <v>0.35060000000000002</v>
      </c>
      <c r="I12" s="86">
        <f>H12-G12-0.05</f>
        <v>0.10980000000000002</v>
      </c>
      <c r="J12" s="46">
        <f t="shared" si="1"/>
        <v>6.1000000000000014</v>
      </c>
      <c r="K12" s="34"/>
      <c r="L12" s="84">
        <v>0.21340000000000001</v>
      </c>
      <c r="M12" s="23">
        <v>0.36249999999999999</v>
      </c>
      <c r="N12" s="36">
        <f>M12-L12-0.05</f>
        <v>9.909999999999998E-2</v>
      </c>
      <c r="O12" s="85">
        <f t="shared" si="2"/>
        <v>5.5055555555555546</v>
      </c>
      <c r="P12" s="34"/>
      <c r="Q12" s="16" t="s">
        <v>104</v>
      </c>
      <c r="R12" s="46">
        <f t="shared" si="3"/>
        <v>5.9851851851851849</v>
      </c>
      <c r="S12" s="28">
        <f t="shared" si="4"/>
        <v>0.43377233223661604</v>
      </c>
    </row>
    <row r="13" spans="1:19" ht="17.45" customHeight="1" x14ac:dyDescent="0.25">
      <c r="A13" s="16" t="s">
        <v>105</v>
      </c>
      <c r="B13" s="23">
        <v>0.19470000000000001</v>
      </c>
      <c r="C13" s="23">
        <v>0.4042</v>
      </c>
      <c r="D13" s="27">
        <f>C13-B13-0.1</f>
        <v>0.10949999999999999</v>
      </c>
      <c r="E13" s="46">
        <f t="shared" si="0"/>
        <v>6.083333333333333</v>
      </c>
      <c r="F13" s="34"/>
      <c r="G13" s="23">
        <v>0.19839999999999999</v>
      </c>
      <c r="H13" s="23">
        <v>0.40689999999999998</v>
      </c>
      <c r="I13" s="86">
        <f>H13-G13-0.1</f>
        <v>0.10849999999999999</v>
      </c>
      <c r="J13" s="46">
        <f t="shared" si="1"/>
        <v>6.0277777777777777</v>
      </c>
      <c r="K13" s="34"/>
      <c r="L13" s="84">
        <v>0.2288</v>
      </c>
      <c r="M13" s="23">
        <v>0.43690000000000001</v>
      </c>
      <c r="N13" s="36">
        <f>M13-L13-0.1</f>
        <v>0.1081</v>
      </c>
      <c r="O13" s="85">
        <f t="shared" si="2"/>
        <v>6.0055555555555564</v>
      </c>
      <c r="P13" s="34"/>
      <c r="Q13" s="16" t="s">
        <v>105</v>
      </c>
      <c r="R13" s="46">
        <f t="shared" si="3"/>
        <v>6.0388888888888888</v>
      </c>
      <c r="S13" s="28">
        <f t="shared" si="4"/>
        <v>4.006168083848826E-2</v>
      </c>
    </row>
    <row r="14" spans="1:19" ht="15.6" customHeight="1" x14ac:dyDescent="0.25">
      <c r="A14" s="17" t="s">
        <v>106</v>
      </c>
      <c r="B14" s="23">
        <v>0.20910000000000001</v>
      </c>
      <c r="C14" s="23">
        <v>0.33479999999999999</v>
      </c>
      <c r="D14" s="27">
        <f>C14-B14-0.05</f>
        <v>7.5699999999999976E-2</v>
      </c>
      <c r="E14" s="46">
        <f t="shared" si="0"/>
        <v>4.2055555555555548</v>
      </c>
      <c r="F14" s="34"/>
      <c r="G14" s="23">
        <v>0.189</v>
      </c>
      <c r="H14" s="23">
        <v>0.3196</v>
      </c>
      <c r="I14" s="36">
        <f>H14-G14-0.05</f>
        <v>8.0599999999999991E-2</v>
      </c>
      <c r="J14" s="46">
        <f t="shared" si="1"/>
        <v>4.4777777777777779</v>
      </c>
      <c r="K14" s="34"/>
      <c r="L14" s="84">
        <v>0.2271</v>
      </c>
      <c r="M14" s="23">
        <v>0.35709999999999997</v>
      </c>
      <c r="N14" s="36">
        <f>M14-L14-0.05</f>
        <v>7.9999999999999974E-2</v>
      </c>
      <c r="O14" s="46">
        <f t="shared" si="2"/>
        <v>4.4444444444444438</v>
      </c>
      <c r="P14" s="34"/>
      <c r="Q14" s="17" t="s">
        <v>106</v>
      </c>
      <c r="R14" s="46">
        <f t="shared" si="3"/>
        <v>4.3759259259259258</v>
      </c>
      <c r="S14" s="28">
        <f t="shared" si="4"/>
        <v>0.1484834169288973</v>
      </c>
    </row>
    <row r="15" spans="1:19" ht="18.600000000000001" customHeight="1" x14ac:dyDescent="0.25">
      <c r="A15" s="17" t="s">
        <v>107</v>
      </c>
      <c r="B15" s="23">
        <v>0.2142</v>
      </c>
      <c r="C15" s="23">
        <v>0.39079999999999998</v>
      </c>
      <c r="D15" s="27">
        <f>C15-B15-0.1</f>
        <v>7.6599999999999974E-2</v>
      </c>
      <c r="E15" s="46">
        <f t="shared" si="0"/>
        <v>4.2555555555555546</v>
      </c>
      <c r="F15" s="34"/>
      <c r="G15" s="23">
        <v>0.2011</v>
      </c>
      <c r="H15" s="23">
        <v>0.376</v>
      </c>
      <c r="I15" s="36">
        <f>H15-G15-0.1</f>
        <v>7.4899999999999994E-2</v>
      </c>
      <c r="J15" s="46">
        <f t="shared" si="1"/>
        <v>4.1611111111111114</v>
      </c>
      <c r="K15" s="34"/>
      <c r="L15" s="84">
        <v>0.22789999999999999</v>
      </c>
      <c r="M15" s="23">
        <v>0.40629999999999999</v>
      </c>
      <c r="N15" s="36">
        <f>M15-L15-0.1</f>
        <v>7.8399999999999997E-2</v>
      </c>
      <c r="O15" s="46">
        <f t="shared" si="2"/>
        <v>4.3555555555555561</v>
      </c>
      <c r="P15" s="34"/>
      <c r="Q15" s="17" t="s">
        <v>107</v>
      </c>
      <c r="R15" s="46">
        <f t="shared" si="3"/>
        <v>4.2574074074074071</v>
      </c>
      <c r="S15" s="28">
        <f t="shared" si="4"/>
        <v>9.7235448835741423E-2</v>
      </c>
    </row>
    <row r="16" spans="1:19" ht="17.45" customHeight="1" x14ac:dyDescent="0.25">
      <c r="A16" s="17" t="s">
        <v>108</v>
      </c>
      <c r="B16" s="23">
        <v>0.2011</v>
      </c>
      <c r="C16" s="23">
        <v>0.32150000000000001</v>
      </c>
      <c r="D16" s="27">
        <f>C16-B16-0.05</f>
        <v>7.0400000000000004E-2</v>
      </c>
      <c r="E16" s="46">
        <f t="shared" si="0"/>
        <v>3.9111111111111114</v>
      </c>
      <c r="F16" s="34"/>
      <c r="G16" s="23">
        <v>0.19</v>
      </c>
      <c r="H16" s="23">
        <v>0.30220000000000002</v>
      </c>
      <c r="I16" s="36">
        <f>H16-G16-0.05</f>
        <v>6.2200000000000019E-2</v>
      </c>
      <c r="J16" s="46">
        <f t="shared" si="1"/>
        <v>3.455555555555557</v>
      </c>
      <c r="K16" s="34"/>
      <c r="L16" s="84">
        <v>0.2135</v>
      </c>
      <c r="M16" s="23">
        <v>0.32329999999999998</v>
      </c>
      <c r="N16" s="36">
        <f>M16-L16-0.05</f>
        <v>5.9799999999999978E-2</v>
      </c>
      <c r="O16" s="46">
        <f t="shared" si="2"/>
        <v>3.3222222222222211</v>
      </c>
      <c r="P16" s="34"/>
      <c r="Q16" s="17" t="s">
        <v>108</v>
      </c>
      <c r="R16" s="46">
        <f t="shared" si="3"/>
        <v>3.5629629629629633</v>
      </c>
      <c r="S16" s="28">
        <f t="shared" si="4"/>
        <v>0.30878761995695903</v>
      </c>
    </row>
    <row r="17" spans="1:19" ht="16.149999999999999" customHeight="1" x14ac:dyDescent="0.25">
      <c r="A17" s="17" t="s">
        <v>109</v>
      </c>
      <c r="B17" s="23">
        <v>0.20680000000000001</v>
      </c>
      <c r="C17" s="23">
        <v>0.3639</v>
      </c>
      <c r="D17" s="27">
        <f>C17-B17-0.1</f>
        <v>5.7099999999999984E-2</v>
      </c>
      <c r="E17" s="46">
        <f t="shared" si="0"/>
        <v>3.1722222222222216</v>
      </c>
      <c r="F17" s="34"/>
      <c r="G17" s="23">
        <v>0.18709999999999999</v>
      </c>
      <c r="H17" s="23">
        <v>0.34910000000000002</v>
      </c>
      <c r="I17" s="36">
        <f>H17-G17-0.1</f>
        <v>6.2000000000000027E-2</v>
      </c>
      <c r="J17" s="46">
        <f t="shared" si="1"/>
        <v>3.4444444444444464</v>
      </c>
      <c r="K17" s="34"/>
      <c r="L17" s="84">
        <v>0.2281</v>
      </c>
      <c r="M17" s="23">
        <v>0.38529999999999998</v>
      </c>
      <c r="N17" s="36">
        <f>M17-L17-0.1</f>
        <v>5.7199999999999973E-2</v>
      </c>
      <c r="O17" s="46">
        <f t="shared" si="2"/>
        <v>3.1777777777777767</v>
      </c>
      <c r="P17" s="34"/>
      <c r="Q17" s="17" t="s">
        <v>109</v>
      </c>
      <c r="R17" s="46">
        <f t="shared" si="3"/>
        <v>3.2648148148148146</v>
      </c>
      <c r="S17" s="28">
        <f t="shared" si="4"/>
        <v>0.1555886208244088</v>
      </c>
    </row>
    <row r="18" spans="1:19" x14ac:dyDescent="0.25">
      <c r="A18" s="18" t="s">
        <v>296</v>
      </c>
      <c r="B18" s="23">
        <v>0.2147</v>
      </c>
      <c r="C18" s="23">
        <v>0.32750000000000001</v>
      </c>
      <c r="D18" s="27">
        <f>C18-B18</f>
        <v>0.11280000000000001</v>
      </c>
      <c r="E18" s="46">
        <f t="shared" si="0"/>
        <v>6.2666666666666675</v>
      </c>
      <c r="F18" s="34"/>
      <c r="G18" s="23">
        <v>0.1966</v>
      </c>
      <c r="H18" s="23">
        <v>0.311</v>
      </c>
      <c r="I18" s="36">
        <f>H18-G18</f>
        <v>0.1144</v>
      </c>
      <c r="J18" s="46">
        <f t="shared" si="1"/>
        <v>6.3555555555555561</v>
      </c>
      <c r="K18" s="34"/>
      <c r="L18" s="84">
        <v>0.2142</v>
      </c>
      <c r="M18" s="23">
        <v>0.32479999999999998</v>
      </c>
      <c r="N18" s="36">
        <f>M18-L18</f>
        <v>0.11059999999999998</v>
      </c>
      <c r="O18" s="46">
        <f t="shared" si="2"/>
        <v>6.1444444444444439</v>
      </c>
      <c r="P18" s="34"/>
      <c r="Q18" s="18" t="s">
        <v>296</v>
      </c>
      <c r="R18" s="46">
        <f t="shared" si="3"/>
        <v>6.2555555555555555</v>
      </c>
      <c r="S18" s="28">
        <f t="shared" si="4"/>
        <v>0.1059932446018834</v>
      </c>
    </row>
    <row r="19" spans="1:19" ht="15.6" customHeight="1" x14ac:dyDescent="0.25">
      <c r="A19" s="15" t="s">
        <v>134</v>
      </c>
      <c r="B19" s="23">
        <v>0.2011</v>
      </c>
      <c r="C19" s="23">
        <v>0.3478</v>
      </c>
      <c r="D19" s="27">
        <f>C19-B19-0.05</f>
        <v>9.6699999999999994E-2</v>
      </c>
      <c r="E19" s="46">
        <f t="shared" si="0"/>
        <v>5.3722222222222227</v>
      </c>
      <c r="F19" s="34"/>
      <c r="G19" s="23">
        <v>0.192</v>
      </c>
      <c r="H19" s="23">
        <v>0.34620000000000001</v>
      </c>
      <c r="I19" s="36">
        <f>H19-G19-0.05</f>
        <v>0.1042</v>
      </c>
      <c r="J19" s="46">
        <f t="shared" si="1"/>
        <v>5.7888888888888896</v>
      </c>
      <c r="K19" s="34"/>
      <c r="L19" s="84">
        <v>0.21920000000000001</v>
      </c>
      <c r="M19" s="23">
        <v>0.36199999999999999</v>
      </c>
      <c r="N19" s="36">
        <f>M19-L19-0.05</f>
        <v>9.279999999999998E-2</v>
      </c>
      <c r="O19" s="46">
        <f t="shared" si="2"/>
        <v>5.155555555555555</v>
      </c>
      <c r="P19" s="34"/>
      <c r="Q19" s="15" t="s">
        <v>134</v>
      </c>
      <c r="R19" s="46">
        <f t="shared" si="3"/>
        <v>5.4388888888888891</v>
      </c>
      <c r="S19" s="28">
        <f t="shared" si="4"/>
        <v>0.32188679859713337</v>
      </c>
    </row>
    <row r="20" spans="1:19" ht="15.6" customHeight="1" x14ac:dyDescent="0.25">
      <c r="A20" s="15" t="s">
        <v>135</v>
      </c>
      <c r="B20" s="23">
        <v>0.20979999999999999</v>
      </c>
      <c r="C20" s="23">
        <v>0.38290000000000002</v>
      </c>
      <c r="D20" s="27">
        <f>C20-B20-0.1</f>
        <v>7.3100000000000026E-2</v>
      </c>
      <c r="E20" s="46">
        <f t="shared" si="0"/>
        <v>4.0611111111111127</v>
      </c>
      <c r="F20" s="34"/>
      <c r="G20" s="23">
        <v>0.18679999999999999</v>
      </c>
      <c r="H20" s="23">
        <v>0.3669</v>
      </c>
      <c r="I20" s="36">
        <f>H20-G20-0.1</f>
        <v>8.0100000000000005E-2</v>
      </c>
      <c r="J20" s="46">
        <f t="shared" si="1"/>
        <v>4.45</v>
      </c>
      <c r="K20" s="34"/>
      <c r="L20" s="84">
        <v>0.2258</v>
      </c>
      <c r="M20" s="23">
        <v>0.40160000000000001</v>
      </c>
      <c r="N20" s="36">
        <f>M20-L20-0.1</f>
        <v>7.5800000000000006E-2</v>
      </c>
      <c r="O20" s="46">
        <f t="shared" si="2"/>
        <v>4.2111111111111121</v>
      </c>
      <c r="P20" s="34"/>
      <c r="Q20" s="15" t="s">
        <v>135</v>
      </c>
      <c r="R20" s="46">
        <f t="shared" si="3"/>
        <v>4.2407407407407414</v>
      </c>
      <c r="S20" s="28">
        <f t="shared" si="4"/>
        <v>0.19613025821963356</v>
      </c>
    </row>
    <row r="21" spans="1:19" ht="16.899999999999999" customHeight="1" x14ac:dyDescent="0.25">
      <c r="A21" s="16" t="s">
        <v>136</v>
      </c>
      <c r="B21" s="23">
        <v>0.21379999999999999</v>
      </c>
      <c r="C21" s="23">
        <v>0.33410000000000001</v>
      </c>
      <c r="D21" s="27">
        <f>C21-B21</f>
        <v>0.12030000000000002</v>
      </c>
      <c r="E21" s="46">
        <f t="shared" si="0"/>
        <v>6.6833333333333345</v>
      </c>
      <c r="F21" s="34"/>
      <c r="G21" s="23">
        <v>0.18410000000000001</v>
      </c>
      <c r="H21" s="23">
        <v>0.32619999999999999</v>
      </c>
      <c r="I21" s="36">
        <f>H21-G21</f>
        <v>0.14209999999999998</v>
      </c>
      <c r="J21" s="46">
        <f t="shared" si="1"/>
        <v>7.8944444444444439</v>
      </c>
      <c r="K21" s="34"/>
      <c r="L21" s="84">
        <v>0.22489999999999999</v>
      </c>
      <c r="M21" s="23">
        <v>0.33979999999999999</v>
      </c>
      <c r="N21" s="36">
        <f>M21-L21</f>
        <v>0.1149</v>
      </c>
      <c r="O21" s="46">
        <f t="shared" si="2"/>
        <v>6.3833333333333337</v>
      </c>
      <c r="P21" s="34"/>
      <c r="Q21" s="16" t="s">
        <v>136</v>
      </c>
      <c r="R21" s="46">
        <f t="shared" si="3"/>
        <v>6.9870370370370374</v>
      </c>
      <c r="S21" s="28">
        <f t="shared" si="4"/>
        <v>0.80002571975116743</v>
      </c>
    </row>
    <row r="22" spans="1:19" ht="16.149999999999999" customHeight="1" x14ac:dyDescent="0.25">
      <c r="A22" s="16" t="s">
        <v>28</v>
      </c>
      <c r="B22" s="23">
        <v>0.2034</v>
      </c>
      <c r="C22" s="23">
        <v>0.35099999999999998</v>
      </c>
      <c r="D22" s="27">
        <f>C22-B22</f>
        <v>0.14759999999999998</v>
      </c>
      <c r="E22" s="46">
        <f t="shared" si="0"/>
        <v>8.1999999999999993</v>
      </c>
      <c r="F22" s="34"/>
      <c r="G22" s="23">
        <v>0.19839999999999999</v>
      </c>
      <c r="H22" s="23">
        <v>0.35799999999999998</v>
      </c>
      <c r="I22" s="36">
        <f>H22-G22</f>
        <v>0.15959999999999999</v>
      </c>
      <c r="J22" s="46">
        <f t="shared" si="1"/>
        <v>8.8666666666666671</v>
      </c>
      <c r="K22" s="34"/>
      <c r="L22" s="84">
        <v>0.22320000000000001</v>
      </c>
      <c r="M22" s="23">
        <v>0.35039999999999999</v>
      </c>
      <c r="N22" s="36">
        <f>M22-L22</f>
        <v>0.12719999999999998</v>
      </c>
      <c r="O22" s="46">
        <f t="shared" si="2"/>
        <v>7.0666666666666664</v>
      </c>
      <c r="P22" s="34"/>
      <c r="Q22" s="16" t="s">
        <v>28</v>
      </c>
      <c r="R22" s="46">
        <f t="shared" si="3"/>
        <v>8.0444444444444443</v>
      </c>
      <c r="S22" s="28">
        <f>STDEV(E22,J22,O22)</f>
        <v>0.91002645464192344</v>
      </c>
    </row>
    <row r="23" spans="1:19" ht="18.600000000000001" customHeight="1" x14ac:dyDescent="0.25">
      <c r="A23" s="17" t="s">
        <v>137</v>
      </c>
      <c r="B23" s="23">
        <v>0.21460000000000001</v>
      </c>
      <c r="C23" s="23">
        <v>0.3226</v>
      </c>
      <c r="D23" s="27">
        <f>C23-B23</f>
        <v>0.10799999999999998</v>
      </c>
      <c r="E23" s="46">
        <f t="shared" si="0"/>
        <v>6</v>
      </c>
      <c r="F23" s="34"/>
      <c r="G23" s="23">
        <v>0.1938</v>
      </c>
      <c r="H23" s="23">
        <v>0.30509999999999998</v>
      </c>
      <c r="I23" s="36">
        <f>H23-G23</f>
        <v>0.11129999999999998</v>
      </c>
      <c r="J23" s="46">
        <f t="shared" si="1"/>
        <v>6.1833333333333327</v>
      </c>
      <c r="K23" s="34"/>
      <c r="L23" s="84">
        <v>0.21659999999999999</v>
      </c>
      <c r="M23" s="23">
        <v>0.34189999999999998</v>
      </c>
      <c r="N23" s="36">
        <f>M23-L23</f>
        <v>0.12529999999999999</v>
      </c>
      <c r="O23" s="46">
        <f t="shared" si="2"/>
        <v>6.9611111111111112</v>
      </c>
      <c r="P23" s="34"/>
      <c r="Q23" s="17" t="s">
        <v>137</v>
      </c>
      <c r="R23" s="46">
        <f t="shared" si="3"/>
        <v>6.3814814814814822</v>
      </c>
      <c r="S23" s="28">
        <f t="shared" si="4"/>
        <v>0.51027508114370446</v>
      </c>
    </row>
    <row r="24" spans="1:19" ht="16.149999999999999" customHeight="1" x14ac:dyDescent="0.25">
      <c r="A24" s="17" t="s">
        <v>138</v>
      </c>
      <c r="B24" s="23">
        <v>0.1883</v>
      </c>
      <c r="C24" s="23">
        <v>0.2636</v>
      </c>
      <c r="D24" s="27">
        <f>C24-B24</f>
        <v>7.5300000000000006E-2</v>
      </c>
      <c r="E24" s="46">
        <f t="shared" si="0"/>
        <v>4.1833333333333336</v>
      </c>
      <c r="F24" s="34"/>
      <c r="G24" s="23">
        <v>0.1978</v>
      </c>
      <c r="H24" s="23">
        <v>0.2833</v>
      </c>
      <c r="I24" s="36">
        <f>H24-G24</f>
        <v>8.5499999999999993E-2</v>
      </c>
      <c r="J24" s="46">
        <f t="shared" si="1"/>
        <v>4.75</v>
      </c>
      <c r="K24" s="34"/>
      <c r="L24" s="84">
        <v>0.22620000000000001</v>
      </c>
      <c r="M24" s="23">
        <v>0.31659999999999999</v>
      </c>
      <c r="N24" s="36">
        <f>M24-L24</f>
        <v>9.039999999999998E-2</v>
      </c>
      <c r="O24" s="46">
        <f t="shared" si="2"/>
        <v>5.0222222222222213</v>
      </c>
      <c r="P24" s="34"/>
      <c r="Q24" s="17" t="s">
        <v>138</v>
      </c>
      <c r="R24" s="46">
        <f t="shared" si="3"/>
        <v>4.6518518518518519</v>
      </c>
      <c r="S24" s="28">
        <f t="shared" si="4"/>
        <v>0.42797013472202861</v>
      </c>
    </row>
    <row r="25" spans="1:19" ht="16.149999999999999" customHeight="1" x14ac:dyDescent="0.25">
      <c r="A25" s="16" t="s">
        <v>139</v>
      </c>
      <c r="B25" s="23">
        <v>0.217</v>
      </c>
      <c r="C25" s="23">
        <v>0.39360000000000001</v>
      </c>
      <c r="D25" s="27">
        <f>C25-B25-0.05</f>
        <v>0.12659999999999999</v>
      </c>
      <c r="E25" s="46">
        <f t="shared" si="0"/>
        <v>7.0333333333333332</v>
      </c>
      <c r="F25" s="34"/>
      <c r="G25" s="23">
        <v>0.21429999999999999</v>
      </c>
      <c r="H25" s="23">
        <v>0.38979999999999998</v>
      </c>
      <c r="I25" s="36">
        <f>H25-G25-0.05</f>
        <v>0.1255</v>
      </c>
      <c r="J25" s="46">
        <f t="shared" si="1"/>
        <v>6.9722222222222232</v>
      </c>
      <c r="K25" s="34"/>
      <c r="L25" s="84">
        <v>0.22220000000000001</v>
      </c>
      <c r="M25" s="23">
        <v>0.40100000000000002</v>
      </c>
      <c r="N25" s="36">
        <f>M25-L25-0.05</f>
        <v>0.12880000000000003</v>
      </c>
      <c r="O25" s="46">
        <f t="shared" si="2"/>
        <v>7.1555555555555577</v>
      </c>
      <c r="P25" s="34"/>
      <c r="Q25" s="16" t="s">
        <v>139</v>
      </c>
      <c r="R25" s="46">
        <f t="shared" si="3"/>
        <v>7.0537037037037047</v>
      </c>
      <c r="S25" s="28">
        <f t="shared" si="4"/>
        <v>9.3348764156508585E-2</v>
      </c>
    </row>
    <row r="26" spans="1:19" ht="15.6" customHeight="1" x14ac:dyDescent="0.25">
      <c r="A26" s="16" t="s">
        <v>140</v>
      </c>
      <c r="B26" s="23">
        <v>0.19670000000000001</v>
      </c>
      <c r="C26" s="23">
        <v>0.4002</v>
      </c>
      <c r="D26" s="27">
        <f>C26-B26-0.1</f>
        <v>0.10349999999999998</v>
      </c>
      <c r="E26" s="46">
        <f t="shared" si="0"/>
        <v>5.7499999999999991</v>
      </c>
      <c r="F26" s="34"/>
      <c r="G26" s="23">
        <v>0.184</v>
      </c>
      <c r="H26" s="23">
        <v>0.38679999999999998</v>
      </c>
      <c r="I26" s="36">
        <f>H26-G26-0.1</f>
        <v>0.10279999999999997</v>
      </c>
      <c r="J26" s="46">
        <f t="shared" si="1"/>
        <v>5.7111111111111104</v>
      </c>
      <c r="K26" s="34"/>
      <c r="L26" s="84">
        <v>0.2248</v>
      </c>
      <c r="M26" s="23">
        <v>0.4299</v>
      </c>
      <c r="N26" s="36">
        <f>M26-L26-0.1</f>
        <v>0.1051</v>
      </c>
      <c r="O26" s="46">
        <f t="shared" si="2"/>
        <v>5.8388888888888895</v>
      </c>
      <c r="P26" s="34"/>
      <c r="Q26" s="16" t="s">
        <v>140</v>
      </c>
      <c r="R26" s="46">
        <f t="shared" si="3"/>
        <v>5.7666666666666657</v>
      </c>
      <c r="S26" s="28">
        <f t="shared" si="4"/>
        <v>6.5499034014176283E-2</v>
      </c>
    </row>
    <row r="27" spans="1:19" ht="16.149999999999999" customHeight="1" x14ac:dyDescent="0.25">
      <c r="A27" s="16" t="s">
        <v>141</v>
      </c>
      <c r="B27" s="23">
        <v>0.19220000000000001</v>
      </c>
      <c r="C27" s="23">
        <v>0.38569999999999999</v>
      </c>
      <c r="D27" s="27">
        <f>C27-B27-0.05</f>
        <v>0.14349999999999996</v>
      </c>
      <c r="E27" s="46">
        <f t="shared" si="0"/>
        <v>7.9722222222222205</v>
      </c>
      <c r="F27" s="34"/>
      <c r="G27" s="23">
        <v>0.19109999999999999</v>
      </c>
      <c r="H27" s="23">
        <v>0.37719999999999998</v>
      </c>
      <c r="I27" s="36">
        <f>H27-G27-0.05</f>
        <v>0.1361</v>
      </c>
      <c r="J27" s="46">
        <f t="shared" si="1"/>
        <v>7.5611111111111118</v>
      </c>
      <c r="K27" s="34"/>
      <c r="L27" s="84">
        <v>0.21809999999999999</v>
      </c>
      <c r="M27" s="23">
        <v>0.39900000000000002</v>
      </c>
      <c r="N27" s="36">
        <f>M27-L27-0.05</f>
        <v>0.13090000000000002</v>
      </c>
      <c r="O27" s="46">
        <f t="shared" si="2"/>
        <v>7.2722222222222239</v>
      </c>
      <c r="P27" s="34"/>
      <c r="Q27" s="16" t="s">
        <v>141</v>
      </c>
      <c r="R27" s="46">
        <f t="shared" si="3"/>
        <v>7.6018518518518521</v>
      </c>
      <c r="S27" s="28">
        <f t="shared" si="4"/>
        <v>0.35177387050074793</v>
      </c>
    </row>
    <row r="28" spans="1:19" ht="15" customHeight="1" x14ac:dyDescent="0.25">
      <c r="A28" s="16" t="s">
        <v>142</v>
      </c>
      <c r="B28" s="23">
        <v>0.19450000000000001</v>
      </c>
      <c r="C28" s="23">
        <v>0.36799999999999999</v>
      </c>
      <c r="D28" s="27">
        <f>C28-B28-0.1</f>
        <v>7.3499999999999982E-2</v>
      </c>
      <c r="E28" s="46">
        <f t="shared" si="0"/>
        <v>4.083333333333333</v>
      </c>
      <c r="F28" s="34"/>
      <c r="G28" s="23">
        <v>0.1928</v>
      </c>
      <c r="H28" s="23">
        <v>0.35310000000000002</v>
      </c>
      <c r="I28" s="36">
        <f>H28-G28-0.1</f>
        <v>6.030000000000002E-2</v>
      </c>
      <c r="J28" s="46">
        <f t="shared" si="1"/>
        <v>3.3500000000000014</v>
      </c>
      <c r="K28" s="34"/>
      <c r="L28" s="84">
        <v>0.22500000000000001</v>
      </c>
      <c r="M28" s="23">
        <v>0.39369999999999999</v>
      </c>
      <c r="N28" s="36">
        <f>M28-L28-0.1</f>
        <v>6.8699999999999983E-2</v>
      </c>
      <c r="O28" s="46">
        <f t="shared" si="2"/>
        <v>3.816666666666666</v>
      </c>
      <c r="P28" s="34"/>
      <c r="Q28" s="16" t="s">
        <v>142</v>
      </c>
      <c r="R28" s="46">
        <f t="shared" si="3"/>
        <v>3.75</v>
      </c>
      <c r="S28" s="28">
        <f t="shared" si="4"/>
        <v>0.37118429085533383</v>
      </c>
    </row>
    <row r="29" spans="1:19" ht="16.899999999999999" customHeight="1" x14ac:dyDescent="0.25">
      <c r="A29" s="17" t="s">
        <v>143</v>
      </c>
      <c r="B29" s="23">
        <v>0.188</v>
      </c>
      <c r="C29" s="23">
        <v>0.32140000000000002</v>
      </c>
      <c r="D29" s="27">
        <f>C29-B29-0.05</f>
        <v>8.3400000000000016E-2</v>
      </c>
      <c r="E29" s="46">
        <f t="shared" si="0"/>
        <v>4.6333333333333346</v>
      </c>
      <c r="F29" s="34"/>
      <c r="G29" s="23">
        <v>0.20749999999999999</v>
      </c>
      <c r="H29" s="23">
        <v>0.34189999999999998</v>
      </c>
      <c r="I29" s="36">
        <f>H29-G29-0.05</f>
        <v>8.4399999999999989E-2</v>
      </c>
      <c r="J29" s="46">
        <f t="shared" si="1"/>
        <v>4.6888888888888882</v>
      </c>
      <c r="K29" s="34"/>
      <c r="L29" s="84">
        <v>0.21460000000000001</v>
      </c>
      <c r="M29" s="23">
        <v>0.34910000000000002</v>
      </c>
      <c r="N29" s="36">
        <f>M29-L29-0.05</f>
        <v>8.4500000000000006E-2</v>
      </c>
      <c r="O29" s="46">
        <f t="shared" si="2"/>
        <v>4.6944444444444455</v>
      </c>
      <c r="P29" s="34"/>
      <c r="Q29" s="17" t="s">
        <v>143</v>
      </c>
      <c r="R29" s="46">
        <f t="shared" si="3"/>
        <v>4.6722222222222234</v>
      </c>
      <c r="S29" s="28">
        <f t="shared" si="4"/>
        <v>3.3793125168322884E-2</v>
      </c>
    </row>
    <row r="30" spans="1:19" ht="18.600000000000001" customHeight="1" x14ac:dyDescent="0.25">
      <c r="A30" s="17" t="s">
        <v>144</v>
      </c>
      <c r="B30" s="23">
        <v>0.20100000000000001</v>
      </c>
      <c r="C30" s="23">
        <v>0.38800000000000001</v>
      </c>
      <c r="D30" s="27">
        <f>C30-B30-0.1</f>
        <v>8.6999999999999994E-2</v>
      </c>
      <c r="E30" s="46">
        <f t="shared" si="0"/>
        <v>4.833333333333333</v>
      </c>
      <c r="F30" s="34"/>
      <c r="G30" s="23">
        <v>0.217</v>
      </c>
      <c r="H30" s="23">
        <v>0.4073</v>
      </c>
      <c r="I30" s="36">
        <f>H30-G30-0.1</f>
        <v>9.0299999999999991E-2</v>
      </c>
      <c r="J30" s="46">
        <f t="shared" si="1"/>
        <v>5.0166666666666666</v>
      </c>
      <c r="K30" s="34"/>
      <c r="L30" s="84">
        <v>0.2238</v>
      </c>
      <c r="M30" s="23">
        <v>0.40429999999999999</v>
      </c>
      <c r="N30" s="36">
        <f>M30-L30-0.1</f>
        <v>8.0499999999999988E-2</v>
      </c>
      <c r="O30" s="46">
        <f t="shared" si="2"/>
        <v>4.4722222222222223</v>
      </c>
      <c r="P30" s="34"/>
      <c r="Q30" s="17" t="s">
        <v>144</v>
      </c>
      <c r="R30" s="46">
        <f t="shared" si="3"/>
        <v>4.7740740740740746</v>
      </c>
      <c r="S30" s="28">
        <f t="shared" si="4"/>
        <v>0.27701747801821452</v>
      </c>
    </row>
    <row r="31" spans="1:19" ht="16.899999999999999" customHeight="1" x14ac:dyDescent="0.25">
      <c r="A31" s="17" t="s">
        <v>145</v>
      </c>
      <c r="B31" s="23">
        <v>0.19819999999999999</v>
      </c>
      <c r="C31" s="23">
        <v>0.30890000000000001</v>
      </c>
      <c r="D31" s="27">
        <f>C31-B31-0.05</f>
        <v>6.0700000000000018E-2</v>
      </c>
      <c r="E31" s="46">
        <f t="shared" si="0"/>
        <v>3.3722222222222236</v>
      </c>
      <c r="F31" s="34"/>
      <c r="G31" s="23">
        <v>0.2056</v>
      </c>
      <c r="H31" s="23">
        <v>0.3196</v>
      </c>
      <c r="I31" s="36">
        <f>H31-G31-0.05</f>
        <v>6.3999999999999987E-2</v>
      </c>
      <c r="J31" s="46">
        <f t="shared" si="1"/>
        <v>3.5555555555555549</v>
      </c>
      <c r="K31" s="34"/>
      <c r="L31" s="84">
        <v>0.219</v>
      </c>
      <c r="M31" s="23">
        <v>0.3357</v>
      </c>
      <c r="N31" s="36">
        <f>M31-L31-0.05</f>
        <v>6.6699999999999995E-2</v>
      </c>
      <c r="O31" s="46">
        <f t="shared" si="2"/>
        <v>3.7055555555555557</v>
      </c>
      <c r="P31" s="34"/>
      <c r="Q31" s="17" t="s">
        <v>145</v>
      </c>
      <c r="R31" s="46">
        <f t="shared" si="3"/>
        <v>3.5444444444444447</v>
      </c>
      <c r="S31" s="28">
        <f t="shared" si="4"/>
        <v>0.16694421334796292</v>
      </c>
    </row>
    <row r="32" spans="1:19" ht="15" customHeight="1" x14ac:dyDescent="0.25">
      <c r="A32" s="17" t="s">
        <v>146</v>
      </c>
      <c r="B32" s="23">
        <v>0.18609999999999999</v>
      </c>
      <c r="C32" s="23">
        <v>0.35160000000000002</v>
      </c>
      <c r="D32" s="27">
        <f>C32-B32-0.1</f>
        <v>6.550000000000003E-2</v>
      </c>
      <c r="E32" s="46">
        <f t="shared" si="0"/>
        <v>3.6388888888888911</v>
      </c>
      <c r="F32" s="34"/>
      <c r="G32" s="23">
        <v>0.21679999999999999</v>
      </c>
      <c r="H32" s="23">
        <v>0.36659999999999998</v>
      </c>
      <c r="I32" s="36">
        <f>H32-G32-0.1</f>
        <v>4.9799999999999983E-2</v>
      </c>
      <c r="J32" s="46">
        <f t="shared" si="1"/>
        <v>2.7666666666666657</v>
      </c>
      <c r="K32" s="34"/>
      <c r="L32" s="84">
        <v>0.22420000000000001</v>
      </c>
      <c r="M32" s="23">
        <v>0.39240000000000003</v>
      </c>
      <c r="N32" s="36">
        <f>M32-L32-0.1</f>
        <v>6.8200000000000011E-2</v>
      </c>
      <c r="O32" s="46">
        <f t="shared" si="2"/>
        <v>3.7888888888888896</v>
      </c>
      <c r="P32" s="34"/>
      <c r="Q32" s="17" t="s">
        <v>146</v>
      </c>
      <c r="R32" s="46">
        <f t="shared" si="3"/>
        <v>3.3981481481481488</v>
      </c>
      <c r="S32" s="28">
        <f>STDEV(E32,J32,O32)</f>
        <v>0.55199786783151528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5B7B9-2D97-4160-A761-D7BD5FB09598}">
  <dimension ref="A1:K31"/>
  <sheetViews>
    <sheetView zoomScale="89" workbookViewId="0">
      <selection activeCell="K18" sqref="K18"/>
    </sheetView>
  </sheetViews>
  <sheetFormatPr defaultColWidth="8.85546875" defaultRowHeight="15" x14ac:dyDescent="0.25"/>
  <cols>
    <col min="1" max="1" width="35.28515625" style="32" customWidth="1"/>
    <col min="2" max="2" width="11.7109375" style="32" customWidth="1"/>
    <col min="3" max="3" width="12.28515625" style="32" customWidth="1"/>
    <col min="4" max="4" width="11.28515625" style="32" customWidth="1"/>
    <col min="5" max="6" width="8.85546875" style="32"/>
    <col min="7" max="7" width="12.85546875" style="32" customWidth="1"/>
    <col min="8" max="16384" width="8.85546875" style="32"/>
  </cols>
  <sheetData>
    <row r="1" spans="1:11" x14ac:dyDescent="0.25">
      <c r="A1" s="4"/>
      <c r="B1" s="79" t="s">
        <v>321</v>
      </c>
      <c r="C1" s="79" t="s">
        <v>322</v>
      </c>
      <c r="D1" s="79" t="s">
        <v>323</v>
      </c>
      <c r="E1" s="79" t="s">
        <v>319</v>
      </c>
      <c r="F1" s="79" t="s">
        <v>95</v>
      </c>
      <c r="G1" s="5" t="s">
        <v>174</v>
      </c>
    </row>
    <row r="2" spans="1:11" x14ac:dyDescent="0.25">
      <c r="A2" s="18" t="s">
        <v>293</v>
      </c>
      <c r="B2" s="27">
        <v>4.5515463917525798</v>
      </c>
      <c r="C2" s="27">
        <v>3.9742268041237101</v>
      </c>
      <c r="D2" s="56">
        <v>4.2542299999999997</v>
      </c>
      <c r="E2" s="28">
        <f t="shared" ref="E2:E31" si="0">AVERAGE(B2:D2)</f>
        <v>4.260001065292097</v>
      </c>
      <c r="F2" s="28">
        <f t="shared" ref="F2:F31" si="1">STDEV(B2:D2)</f>
        <v>0.28870305758849574</v>
      </c>
      <c r="G2" s="28">
        <v>85.26</v>
      </c>
      <c r="K2" s="58"/>
    </row>
    <row r="3" spans="1:11" x14ac:dyDescent="0.25">
      <c r="A3" s="15" t="s">
        <v>147</v>
      </c>
      <c r="B3" s="27">
        <v>6.4948453608247423</v>
      </c>
      <c r="C3" s="27">
        <v>5.7216494845360799</v>
      </c>
      <c r="D3" s="57">
        <v>6.1135099999999998</v>
      </c>
      <c r="E3" s="28">
        <f t="shared" si="0"/>
        <v>6.1100016151202743</v>
      </c>
      <c r="F3" s="28">
        <f t="shared" si="1"/>
        <v>0.38660987746150038</v>
      </c>
      <c r="G3" s="28">
        <v>116.06</v>
      </c>
      <c r="K3" s="58"/>
    </row>
    <row r="4" spans="1:11" x14ac:dyDescent="0.25">
      <c r="A4" s="15" t="s">
        <v>148</v>
      </c>
      <c r="B4" s="27">
        <v>6.0309278350515463</v>
      </c>
      <c r="C4" s="27">
        <v>5.0876288659793802</v>
      </c>
      <c r="D4" s="57">
        <v>5.5614400000000002</v>
      </c>
      <c r="E4" s="28">
        <f t="shared" si="0"/>
        <v>5.5599989003436425</v>
      </c>
      <c r="F4" s="28">
        <f t="shared" si="1"/>
        <v>0.47165113573415413</v>
      </c>
      <c r="G4" s="28">
        <v>111.19</v>
      </c>
      <c r="K4" s="58"/>
    </row>
    <row r="5" spans="1:11" x14ac:dyDescent="0.25">
      <c r="A5" s="16" t="s">
        <v>29</v>
      </c>
      <c r="B5" s="27">
        <v>5.02061855670103</v>
      </c>
      <c r="C5" s="27">
        <v>5.0438144329896897</v>
      </c>
      <c r="D5" s="56">
        <v>5.0255700000000001</v>
      </c>
      <c r="E5" s="28">
        <f t="shared" si="0"/>
        <v>5.0300009965635732</v>
      </c>
      <c r="F5" s="28">
        <f t="shared" si="1"/>
        <v>1.2216278775040265E-2</v>
      </c>
      <c r="G5" s="28">
        <v>95.61</v>
      </c>
      <c r="K5" s="58"/>
    </row>
    <row r="6" spans="1:11" x14ac:dyDescent="0.25">
      <c r="A6" s="16" t="s">
        <v>30</v>
      </c>
      <c r="B6" s="27">
        <v>4.5195876288659802</v>
      </c>
      <c r="C6" s="27">
        <v>4.2639175257732003</v>
      </c>
      <c r="D6" s="56">
        <v>4.3864900000000002</v>
      </c>
      <c r="E6" s="28">
        <f t="shared" si="0"/>
        <v>4.3899983848797266</v>
      </c>
      <c r="F6" s="28">
        <f t="shared" si="1"/>
        <v>0.12787115381201658</v>
      </c>
      <c r="G6" s="28">
        <v>88</v>
      </c>
      <c r="K6" s="58"/>
    </row>
    <row r="7" spans="1:11" x14ac:dyDescent="0.25">
      <c r="A7" s="17" t="s">
        <v>149</v>
      </c>
      <c r="B7" s="27">
        <v>3.4927835051546001</v>
      </c>
      <c r="C7" s="27">
        <v>3.680412371134</v>
      </c>
      <c r="D7" s="56">
        <v>3.3268</v>
      </c>
      <c r="E7" s="28">
        <f t="shared" si="0"/>
        <v>3.4999986254295337</v>
      </c>
      <c r="F7" s="28">
        <f t="shared" si="1"/>
        <v>0.17691656430416219</v>
      </c>
      <c r="G7" s="28">
        <v>70</v>
      </c>
      <c r="K7" s="58"/>
    </row>
    <row r="8" spans="1:11" x14ac:dyDescent="0.25">
      <c r="A8" s="17" t="s">
        <v>150</v>
      </c>
      <c r="B8" s="27">
        <v>2.4927835051546401</v>
      </c>
      <c r="C8" s="27">
        <v>2.3993505154639201</v>
      </c>
      <c r="D8" s="56">
        <v>2.4578700000000002</v>
      </c>
      <c r="E8" s="28">
        <f t="shared" si="0"/>
        <v>2.4500013402061867</v>
      </c>
      <c r="F8" s="28">
        <f t="shared" si="1"/>
        <v>4.7210885882915068E-2</v>
      </c>
      <c r="G8" s="28">
        <v>49</v>
      </c>
      <c r="K8" s="58"/>
    </row>
    <row r="9" spans="1:11" x14ac:dyDescent="0.25">
      <c r="A9" s="16" t="s">
        <v>151</v>
      </c>
      <c r="B9" s="27">
        <v>5.6587628865979402</v>
      </c>
      <c r="C9" s="27">
        <v>4.8051546391752602</v>
      </c>
      <c r="D9" s="56">
        <v>5.2260799999999996</v>
      </c>
      <c r="E9" s="28">
        <f t="shared" si="0"/>
        <v>5.2299991752577339</v>
      </c>
      <c r="F9" s="28">
        <f t="shared" si="1"/>
        <v>0.42681761909278121</v>
      </c>
      <c r="G9" s="28">
        <v>104.6</v>
      </c>
      <c r="K9" s="58"/>
    </row>
    <row r="10" spans="1:11" x14ac:dyDescent="0.25">
      <c r="A10" s="16" t="s">
        <v>152</v>
      </c>
      <c r="B10" s="27">
        <v>3.70546391752577</v>
      </c>
      <c r="C10" s="27">
        <v>3.8132989690721701</v>
      </c>
      <c r="D10" s="56">
        <v>3.7612399999999999</v>
      </c>
      <c r="E10" s="28">
        <f t="shared" si="0"/>
        <v>3.7600009621993138</v>
      </c>
      <c r="F10" s="28">
        <f t="shared" si="1"/>
        <v>5.3928202236931122E-2</v>
      </c>
      <c r="G10" s="28">
        <v>75</v>
      </c>
      <c r="K10" s="58"/>
    </row>
    <row r="11" spans="1:11" x14ac:dyDescent="0.25">
      <c r="A11" s="16" t="s">
        <v>153</v>
      </c>
      <c r="B11" s="27">
        <v>5.0103092783505199</v>
      </c>
      <c r="C11" s="27">
        <v>4.4536082474226797</v>
      </c>
      <c r="D11" s="56">
        <v>4.7260799999999996</v>
      </c>
      <c r="E11" s="28">
        <f t="shared" si="0"/>
        <v>4.7299991752577331</v>
      </c>
      <c r="F11" s="28">
        <f t="shared" si="1"/>
        <v>0.27837120794014536</v>
      </c>
      <c r="G11" s="28">
        <v>94.64</v>
      </c>
      <c r="K11" s="58"/>
    </row>
    <row r="12" spans="1:11" x14ac:dyDescent="0.25">
      <c r="A12" s="16" t="s">
        <v>154</v>
      </c>
      <c r="B12" s="27">
        <v>5.10515463917526</v>
      </c>
      <c r="C12" s="27">
        <v>4.9103092783505202</v>
      </c>
      <c r="D12" s="56">
        <v>5.0145400000000002</v>
      </c>
      <c r="E12" s="28">
        <f t="shared" si="0"/>
        <v>5.0100013058419268</v>
      </c>
      <c r="F12" s="28">
        <f t="shared" si="1"/>
        <v>9.7501940838252851E-2</v>
      </c>
      <c r="G12" s="28">
        <v>100.15</v>
      </c>
      <c r="K12" s="58"/>
    </row>
    <row r="13" spans="1:11" x14ac:dyDescent="0.25">
      <c r="A13" s="17" t="s">
        <v>155</v>
      </c>
      <c r="B13" s="27">
        <v>3.5814432989690701</v>
      </c>
      <c r="C13" s="27">
        <v>2.751030927835</v>
      </c>
      <c r="D13" s="56">
        <v>3.17753</v>
      </c>
      <c r="E13" s="28">
        <f t="shared" si="0"/>
        <v>3.1700014089346902</v>
      </c>
      <c r="F13" s="28">
        <f t="shared" si="1"/>
        <v>0.41525737355969211</v>
      </c>
      <c r="G13" s="28">
        <v>63.4</v>
      </c>
      <c r="K13" s="58"/>
    </row>
    <row r="14" spans="1:11" x14ac:dyDescent="0.25">
      <c r="A14" s="17" t="s">
        <v>156</v>
      </c>
      <c r="B14" s="27">
        <v>2.5804123711339999</v>
      </c>
      <c r="C14" s="27">
        <v>2.1670103092783002</v>
      </c>
      <c r="D14" s="56">
        <v>2.1525799999999999</v>
      </c>
      <c r="E14" s="28">
        <f t="shared" si="0"/>
        <v>2.3000008934707665</v>
      </c>
      <c r="F14" s="28">
        <f t="shared" si="1"/>
        <v>0.2429506247376724</v>
      </c>
      <c r="G14" s="28">
        <v>46</v>
      </c>
      <c r="K14" s="58"/>
    </row>
    <row r="15" spans="1:11" x14ac:dyDescent="0.25">
      <c r="A15" s="17" t="s">
        <v>157</v>
      </c>
      <c r="B15" s="27">
        <v>2.6773195876288698</v>
      </c>
      <c r="C15" s="27">
        <v>1.9762886597938101</v>
      </c>
      <c r="D15" s="56">
        <v>2.2463899999999999</v>
      </c>
      <c r="E15" s="28">
        <f t="shared" si="0"/>
        <v>2.2999994158075601</v>
      </c>
      <c r="F15" s="28">
        <f t="shared" si="1"/>
        <v>0.35357681986060863</v>
      </c>
      <c r="G15" s="28">
        <v>46</v>
      </c>
      <c r="K15" s="58"/>
    </row>
    <row r="16" spans="1:11" x14ac:dyDescent="0.25">
      <c r="A16" s="17" t="s">
        <v>158</v>
      </c>
      <c r="B16" s="27">
        <v>1.8505154639175301</v>
      </c>
      <c r="C16" s="27">
        <v>2.0577319587628899</v>
      </c>
      <c r="D16" s="56">
        <v>1.9417500000000001</v>
      </c>
      <c r="E16" s="28">
        <f t="shared" si="0"/>
        <v>1.9499991408934731</v>
      </c>
      <c r="F16" s="28">
        <f t="shared" si="1"/>
        <v>0.10385424968728792</v>
      </c>
      <c r="G16" s="28">
        <v>39.08</v>
      </c>
      <c r="K16" s="58"/>
    </row>
    <row r="17" spans="1:11" x14ac:dyDescent="0.25">
      <c r="A17" s="18" t="s">
        <v>294</v>
      </c>
      <c r="B17" s="27">
        <v>3.8734020618556699</v>
      </c>
      <c r="C17" s="27">
        <v>2.2442268041237101</v>
      </c>
      <c r="D17" s="56">
        <v>3.06237</v>
      </c>
      <c r="E17" s="28">
        <f t="shared" si="0"/>
        <v>3.0599996219931267</v>
      </c>
      <c r="F17" s="28">
        <f t="shared" si="1"/>
        <v>0.81459021545831278</v>
      </c>
      <c r="G17" s="28">
        <v>61</v>
      </c>
      <c r="K17" s="58"/>
    </row>
    <row r="18" spans="1:11" x14ac:dyDescent="0.25">
      <c r="A18" s="15" t="s">
        <v>160</v>
      </c>
      <c r="B18" s="27">
        <v>3.4278350515463898</v>
      </c>
      <c r="C18" s="27">
        <v>3.1907216494845398</v>
      </c>
      <c r="D18" s="56">
        <v>3.3114400000000002</v>
      </c>
      <c r="E18" s="28">
        <f t="shared" si="0"/>
        <v>3.3099989003436434</v>
      </c>
      <c r="F18" s="28">
        <f t="shared" si="1"/>
        <v>0.11856326975712499</v>
      </c>
      <c r="G18" s="28">
        <v>66.19</v>
      </c>
      <c r="K18" s="58"/>
    </row>
    <row r="19" spans="1:11" x14ac:dyDescent="0.25">
      <c r="A19" s="15" t="s">
        <v>161</v>
      </c>
      <c r="B19" s="27">
        <v>2.9226804123711299</v>
      </c>
      <c r="C19" s="27">
        <v>2.8350515463917501</v>
      </c>
      <c r="D19" s="56">
        <v>2.8827699999999998</v>
      </c>
      <c r="E19" s="28">
        <f t="shared" si="0"/>
        <v>2.8801673195876263</v>
      </c>
      <c r="F19" s="28">
        <f t="shared" si="1"/>
        <v>4.3872371684292845E-2</v>
      </c>
      <c r="G19" s="28">
        <v>57.58</v>
      </c>
      <c r="K19" s="58"/>
    </row>
    <row r="20" spans="1:11" x14ac:dyDescent="0.25">
      <c r="A20" s="16" t="s">
        <v>162</v>
      </c>
      <c r="B20" s="27">
        <v>3.28350515463918</v>
      </c>
      <c r="C20" s="27">
        <v>3.0773195876288701</v>
      </c>
      <c r="D20" s="56">
        <v>3.1791752577319499</v>
      </c>
      <c r="E20" s="28">
        <f t="shared" si="0"/>
        <v>3.18</v>
      </c>
      <c r="F20" s="28">
        <f t="shared" si="1"/>
        <v>0.1030952577022691</v>
      </c>
      <c r="G20" s="28">
        <v>63.61</v>
      </c>
      <c r="K20" s="58"/>
    </row>
    <row r="21" spans="1:11" x14ac:dyDescent="0.25">
      <c r="A21" s="16" t="s">
        <v>163</v>
      </c>
      <c r="B21" s="27">
        <v>2.0881443298968998</v>
      </c>
      <c r="C21" s="27">
        <v>3.6402061855670098</v>
      </c>
      <c r="D21" s="56">
        <v>2.85164948453609</v>
      </c>
      <c r="E21" s="28">
        <f t="shared" si="0"/>
        <v>2.86</v>
      </c>
      <c r="F21" s="28">
        <f t="shared" si="1"/>
        <v>0.77606462313902735</v>
      </c>
      <c r="G21" s="28">
        <v>57.2</v>
      </c>
      <c r="K21" s="58"/>
    </row>
    <row r="22" spans="1:11" x14ac:dyDescent="0.25">
      <c r="A22" s="17" t="s">
        <v>164</v>
      </c>
      <c r="B22" s="27">
        <v>2.7783505154639201</v>
      </c>
      <c r="C22" s="27">
        <v>2.5824742268041199</v>
      </c>
      <c r="D22" s="56">
        <v>2.6791752577319601</v>
      </c>
      <c r="E22" s="28">
        <f t="shared" si="0"/>
        <v>2.6799999999999997</v>
      </c>
      <c r="F22" s="28">
        <f t="shared" si="1"/>
        <v>9.794074874453873E-2</v>
      </c>
      <c r="G22" s="28">
        <v>53.61</v>
      </c>
      <c r="K22" s="58"/>
    </row>
    <row r="23" spans="1:11" x14ac:dyDescent="0.25">
      <c r="A23" s="17" t="s">
        <v>165</v>
      </c>
      <c r="B23" s="27">
        <v>2.30412371134021</v>
      </c>
      <c r="C23" s="27">
        <v>2.1030927835051498</v>
      </c>
      <c r="D23" s="56">
        <v>2.1927835051546398</v>
      </c>
      <c r="E23" s="28">
        <f t="shared" si="0"/>
        <v>2.1999999999999997</v>
      </c>
      <c r="F23" s="28">
        <f t="shared" si="1"/>
        <v>0.10070956674986803</v>
      </c>
      <c r="G23" s="28">
        <v>44.8</v>
      </c>
      <c r="K23" s="58"/>
    </row>
    <row r="24" spans="1:11" x14ac:dyDescent="0.25">
      <c r="A24" s="16" t="s">
        <v>166</v>
      </c>
      <c r="B24" s="27">
        <v>2.9892783505154599</v>
      </c>
      <c r="C24" s="27">
        <v>2.79216494845361</v>
      </c>
      <c r="D24" s="56">
        <v>2.8885567010309301</v>
      </c>
      <c r="E24" s="28">
        <f t="shared" si="0"/>
        <v>2.89</v>
      </c>
      <c r="F24" s="28">
        <f t="shared" si="1"/>
        <v>9.856462677875219E-2</v>
      </c>
      <c r="G24" s="28">
        <v>57.8</v>
      </c>
      <c r="K24" s="58"/>
    </row>
    <row r="25" spans="1:11" x14ac:dyDescent="0.25">
      <c r="A25" s="16" t="s">
        <v>167</v>
      </c>
      <c r="B25" s="27">
        <v>2.8670103092783501</v>
      </c>
      <c r="C25" s="27">
        <v>2.5474226804123701</v>
      </c>
      <c r="D25" s="56">
        <v>2.71556701</v>
      </c>
      <c r="E25" s="28">
        <f t="shared" si="0"/>
        <v>2.7099999998969069</v>
      </c>
      <c r="F25" s="28">
        <f t="shared" si="1"/>
        <v>0.15986652817948105</v>
      </c>
      <c r="G25" s="28">
        <v>54</v>
      </c>
      <c r="K25" s="58"/>
    </row>
    <row r="26" spans="1:11" x14ac:dyDescent="0.25">
      <c r="A26" s="16" t="s">
        <v>168</v>
      </c>
      <c r="B26" s="27">
        <v>2.5360824742268</v>
      </c>
      <c r="C26" s="27">
        <v>2.4020618556700999</v>
      </c>
      <c r="D26" s="56">
        <v>2.4718556700000001</v>
      </c>
      <c r="E26" s="28">
        <f t="shared" si="0"/>
        <v>2.4699999999656335</v>
      </c>
      <c r="F26" s="28">
        <f t="shared" si="1"/>
        <v>6.7029576927185378E-2</v>
      </c>
      <c r="G26" s="28">
        <v>49.38</v>
      </c>
      <c r="K26" s="58"/>
    </row>
    <row r="27" spans="1:11" x14ac:dyDescent="0.25">
      <c r="A27" s="16" t="s">
        <v>169</v>
      </c>
      <c r="B27" s="27">
        <v>2.2577319587628901</v>
      </c>
      <c r="C27" s="27">
        <v>2.18041237113402</v>
      </c>
      <c r="D27" s="56">
        <v>2.2218556701000001</v>
      </c>
      <c r="E27" s="28">
        <f t="shared" si="0"/>
        <v>2.2199999999989699</v>
      </c>
      <c r="F27" s="28">
        <f t="shared" si="1"/>
        <v>3.8693181458979625E-2</v>
      </c>
      <c r="G27" s="28">
        <v>44.38</v>
      </c>
      <c r="K27" s="58"/>
    </row>
    <row r="28" spans="1:11" x14ac:dyDescent="0.25">
      <c r="A28" s="17" t="s">
        <v>170</v>
      </c>
      <c r="B28" s="27">
        <v>1.8350515463917501</v>
      </c>
      <c r="C28" s="27">
        <v>2.2647422680412301</v>
      </c>
      <c r="D28" s="56">
        <v>2.0502061855</v>
      </c>
      <c r="E28" s="28">
        <f t="shared" si="0"/>
        <v>2.0499999999776599</v>
      </c>
      <c r="F28" s="28">
        <f t="shared" si="1"/>
        <v>0.21484543502775422</v>
      </c>
      <c r="G28" s="28">
        <v>40.4</v>
      </c>
      <c r="K28" s="58"/>
    </row>
    <row r="29" spans="1:11" x14ac:dyDescent="0.25">
      <c r="A29" s="17" t="s">
        <v>171</v>
      </c>
      <c r="B29" s="27">
        <v>1.9025773195876201</v>
      </c>
      <c r="C29" s="27">
        <v>1.71536082474227</v>
      </c>
      <c r="D29" s="56">
        <v>1.8112061850000001</v>
      </c>
      <c r="E29" s="28">
        <f t="shared" si="0"/>
        <v>1.8097147764432968</v>
      </c>
      <c r="F29" s="28">
        <f t="shared" si="1"/>
        <v>9.361715766971887E-2</v>
      </c>
      <c r="G29" s="28">
        <v>36</v>
      </c>
      <c r="K29" s="58"/>
    </row>
    <row r="30" spans="1:11" x14ac:dyDescent="0.25">
      <c r="A30" s="17" t="s">
        <v>172</v>
      </c>
      <c r="B30" s="27">
        <v>1.85876288659794</v>
      </c>
      <c r="C30" s="27">
        <v>1.62164948453608</v>
      </c>
      <c r="D30" s="56">
        <v>1.7395876288000001</v>
      </c>
      <c r="E30" s="28">
        <f t="shared" si="0"/>
        <v>1.7399999999780065</v>
      </c>
      <c r="F30" s="28">
        <f t="shared" si="1"/>
        <v>0.11855723890521679</v>
      </c>
      <c r="G30" s="28">
        <v>35</v>
      </c>
      <c r="K30" s="58"/>
    </row>
    <row r="31" spans="1:11" x14ac:dyDescent="0.25">
      <c r="A31" s="17" t="s">
        <v>173</v>
      </c>
      <c r="B31" s="27">
        <v>1.87484536082474</v>
      </c>
      <c r="C31" s="27">
        <v>1.7131958762886601</v>
      </c>
      <c r="D31" s="56">
        <v>1.78195876288</v>
      </c>
      <c r="E31" s="28">
        <f t="shared" si="0"/>
        <v>1.7899999999978</v>
      </c>
      <c r="F31" s="28">
        <f t="shared" si="1"/>
        <v>8.1124195425801265E-2</v>
      </c>
      <c r="G31" s="28">
        <v>35.799999999999997</v>
      </c>
      <c r="K31" s="58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0A3E1-E9BF-4124-8EE3-2B96469AD56C}">
  <dimension ref="A1:AV32"/>
  <sheetViews>
    <sheetView topLeftCell="V1" zoomScale="54" workbookViewId="0">
      <selection activeCell="AV28" sqref="AV28"/>
    </sheetView>
  </sheetViews>
  <sheetFormatPr defaultColWidth="8.85546875" defaultRowHeight="15" x14ac:dyDescent="0.25"/>
  <cols>
    <col min="1" max="1" width="45.5703125" style="32" customWidth="1"/>
    <col min="2" max="14" width="8.85546875" style="32"/>
    <col min="15" max="15" width="40.28515625" style="32" customWidth="1"/>
    <col min="16" max="28" width="8.85546875" style="32"/>
    <col min="29" max="29" width="36.5703125" style="32" customWidth="1"/>
    <col min="30" max="43" width="8.85546875" style="32"/>
    <col min="44" max="44" width="39.28515625" style="32" customWidth="1"/>
    <col min="45" max="45" width="15.7109375" style="32" customWidth="1"/>
    <col min="46" max="46" width="13" style="32" customWidth="1"/>
    <col min="47" max="47" width="14.140625" style="32" customWidth="1"/>
    <col min="48" max="48" width="10.28515625" style="32" customWidth="1"/>
    <col min="49" max="16384" width="8.85546875" style="32"/>
  </cols>
  <sheetData>
    <row r="1" spans="1:48" x14ac:dyDescent="0.25">
      <c r="A1" s="4"/>
      <c r="B1" s="27" t="s">
        <v>32</v>
      </c>
      <c r="C1" s="27" t="s">
        <v>33</v>
      </c>
      <c r="D1" s="4" t="s">
        <v>329</v>
      </c>
      <c r="E1" s="4" t="s">
        <v>330</v>
      </c>
      <c r="F1" s="4" t="s">
        <v>34</v>
      </c>
      <c r="G1" s="4" t="s">
        <v>35</v>
      </c>
      <c r="H1" s="4" t="s">
        <v>326</v>
      </c>
      <c r="I1" s="4" t="s">
        <v>326</v>
      </c>
      <c r="J1" s="4" t="s">
        <v>36</v>
      </c>
      <c r="K1" s="4" t="s">
        <v>37</v>
      </c>
      <c r="L1" s="4" t="s">
        <v>175</v>
      </c>
      <c r="M1" s="4" t="s">
        <v>38</v>
      </c>
      <c r="O1" s="4"/>
      <c r="P1" s="27" t="s">
        <v>32</v>
      </c>
      <c r="Q1" s="27" t="s">
        <v>33</v>
      </c>
      <c r="R1" s="4" t="s">
        <v>329</v>
      </c>
      <c r="S1" s="4" t="s">
        <v>330</v>
      </c>
      <c r="T1" s="4" t="s">
        <v>34</v>
      </c>
      <c r="U1" s="4" t="s">
        <v>35</v>
      </c>
      <c r="V1" s="4" t="s">
        <v>326</v>
      </c>
      <c r="W1" s="4" t="s">
        <v>326</v>
      </c>
      <c r="X1" s="4" t="s">
        <v>36</v>
      </c>
      <c r="Y1" s="4" t="s">
        <v>37</v>
      </c>
      <c r="Z1" s="4" t="s">
        <v>327</v>
      </c>
      <c r="AA1" s="4" t="s">
        <v>328</v>
      </c>
      <c r="AC1" s="4"/>
      <c r="AD1" s="27" t="s">
        <v>32</v>
      </c>
      <c r="AE1" s="27" t="s">
        <v>33</v>
      </c>
      <c r="AF1" s="4" t="s">
        <v>329</v>
      </c>
      <c r="AG1" s="4" t="s">
        <v>330</v>
      </c>
      <c r="AH1" s="4" t="s">
        <v>34</v>
      </c>
      <c r="AI1" s="4" t="s">
        <v>35</v>
      </c>
      <c r="AJ1" s="4" t="s">
        <v>326</v>
      </c>
      <c r="AK1" s="4" t="s">
        <v>326</v>
      </c>
      <c r="AL1" s="4" t="s">
        <v>36</v>
      </c>
      <c r="AM1" s="4" t="s">
        <v>37</v>
      </c>
      <c r="AN1" s="4" t="s">
        <v>327</v>
      </c>
      <c r="AO1" s="4" t="s">
        <v>328</v>
      </c>
      <c r="AR1" s="96"/>
      <c r="AS1" s="97" t="s">
        <v>319</v>
      </c>
      <c r="AT1" s="97" t="s">
        <v>95</v>
      </c>
    </row>
    <row r="2" spans="1:48" ht="19.899999999999999" customHeight="1" x14ac:dyDescent="0.25">
      <c r="A2" s="18" t="s">
        <v>293</v>
      </c>
      <c r="B2" s="4">
        <v>1.0541</v>
      </c>
      <c r="C2" s="4">
        <v>1.2552000000000001</v>
      </c>
      <c r="D2" s="4" t="s">
        <v>39</v>
      </c>
      <c r="E2" s="4" t="s">
        <v>40</v>
      </c>
      <c r="F2" s="4">
        <f>B2-0.662</f>
        <v>0.3921</v>
      </c>
      <c r="G2" s="43">
        <f>C2-0.7943</f>
        <v>0.46090000000000009</v>
      </c>
      <c r="H2" s="43">
        <f>(F2*60)/240</f>
        <v>9.8025000000000001E-2</v>
      </c>
      <c r="I2" s="43">
        <f>(G2*60)/235</f>
        <v>0.11767659574468087</v>
      </c>
      <c r="J2" s="43">
        <f>(H2/0.036)*10</f>
        <v>27.229166666666668</v>
      </c>
      <c r="K2" s="43">
        <f>(I2/0.036)*10</f>
        <v>32.687943262411359</v>
      </c>
      <c r="L2" s="43">
        <f>AVERAGE(J2:K2)</f>
        <v>29.958554964539012</v>
      </c>
      <c r="M2" s="33">
        <f>L2/0.87</f>
        <v>34.435120648895413</v>
      </c>
      <c r="O2" s="18" t="s">
        <v>293</v>
      </c>
      <c r="P2" s="4">
        <v>1.2335</v>
      </c>
      <c r="Q2" s="4">
        <v>1.2241</v>
      </c>
      <c r="R2" s="4" t="s">
        <v>40</v>
      </c>
      <c r="S2" s="4" t="s">
        <v>41</v>
      </c>
      <c r="T2" s="4">
        <f>P2-0.8198</f>
        <v>0.41370000000000007</v>
      </c>
      <c r="U2" s="43">
        <f>Q2-0.8205</f>
        <v>0.40359999999999996</v>
      </c>
      <c r="V2" s="43">
        <f>(T2*60)/235</f>
        <v>0.10562553191489363</v>
      </c>
      <c r="W2" s="43">
        <f>(U2*60)/230</f>
        <v>0.10528695652173913</v>
      </c>
      <c r="X2" s="43">
        <f>(V2/0.036)*10</f>
        <v>29.340425531914896</v>
      </c>
      <c r="Y2" s="43">
        <f>(W2/0.036)*10</f>
        <v>29.246376811594207</v>
      </c>
      <c r="Z2" s="43">
        <f>AVERAGE(X2:Y2)</f>
        <v>29.293401171754553</v>
      </c>
      <c r="AA2" s="33">
        <f>Z2/0.84</f>
        <v>34.873096633041136</v>
      </c>
      <c r="AC2" s="18" t="s">
        <v>293</v>
      </c>
      <c r="AD2" s="4">
        <v>1.2219</v>
      </c>
      <c r="AE2" s="4">
        <v>1.2354000000000001</v>
      </c>
      <c r="AF2" s="4" t="s">
        <v>40</v>
      </c>
      <c r="AG2" s="4" t="s">
        <v>42</v>
      </c>
      <c r="AH2" s="4">
        <f>AD2-0.827</f>
        <v>0.39490000000000003</v>
      </c>
      <c r="AI2" s="43">
        <f>AE2-0.838</f>
        <v>0.39740000000000009</v>
      </c>
      <c r="AJ2" s="43">
        <f>(AH2*60)/235</f>
        <v>0.10082553191489363</v>
      </c>
      <c r="AK2" s="43">
        <f>(AI2*60)/225</f>
        <v>0.10597333333333335</v>
      </c>
      <c r="AL2" s="43">
        <f>(AJ2/0.036)*10</f>
        <v>28.007092198581564</v>
      </c>
      <c r="AM2" s="43">
        <f>(AK2/0.036)*10</f>
        <v>29.437037037037044</v>
      </c>
      <c r="AN2" s="43">
        <f>AVERAGE(AL2:AM2)</f>
        <v>28.722064617809302</v>
      </c>
      <c r="AO2" s="33">
        <f>AN2/0.87</f>
        <v>33.013867376792298</v>
      </c>
      <c r="AP2" s="42"/>
      <c r="AR2" s="18" t="s">
        <v>293</v>
      </c>
      <c r="AS2" s="28">
        <f>AVERAGE(AO2,AA2,M2)</f>
        <v>34.107361552909616</v>
      </c>
      <c r="AT2" s="28">
        <f>STDEV(M2,AA2,AO2)</f>
        <v>0.97198398936092167</v>
      </c>
    </row>
    <row r="3" spans="1:48" ht="18" customHeight="1" x14ac:dyDescent="0.25">
      <c r="A3" s="15" t="s">
        <v>147</v>
      </c>
      <c r="B3" s="4">
        <v>1.3479000000000001</v>
      </c>
      <c r="C3" s="4">
        <v>1.1217999999999999</v>
      </c>
      <c r="D3" s="4" t="s">
        <v>42</v>
      </c>
      <c r="E3" s="4" t="s">
        <v>40</v>
      </c>
      <c r="F3" s="4">
        <f>B3-0.8612</f>
        <v>0.48670000000000013</v>
      </c>
      <c r="G3" s="43">
        <f>C3-0.8357</f>
        <v>0.28609999999999991</v>
      </c>
      <c r="H3" s="43">
        <f>(F3*60)/225</f>
        <v>0.12978666666666672</v>
      </c>
      <c r="I3" s="43">
        <f>(G3*60)/235</f>
        <v>7.3046808510638273E-2</v>
      </c>
      <c r="J3" s="43">
        <f t="shared" ref="J3:K31" si="0">(H3/0.036)*10</f>
        <v>36.051851851851865</v>
      </c>
      <c r="K3" s="43">
        <f t="shared" si="0"/>
        <v>20.290780141843964</v>
      </c>
      <c r="L3" s="43">
        <f t="shared" ref="L3:L16" si="1">AVERAGE(J3:K3)</f>
        <v>28.171315996847916</v>
      </c>
      <c r="M3" s="33">
        <f>L3/0.74</f>
        <v>38.069345941686372</v>
      </c>
      <c r="O3" s="15" t="s">
        <v>147</v>
      </c>
      <c r="P3" s="4">
        <v>1.2024999999999999</v>
      </c>
      <c r="Q3" s="4">
        <v>1.2250000000000001</v>
      </c>
      <c r="R3" s="4" t="s">
        <v>41</v>
      </c>
      <c r="S3" s="4" t="s">
        <v>40</v>
      </c>
      <c r="T3" s="4">
        <f>P3-0.8073</f>
        <v>0.39519999999999988</v>
      </c>
      <c r="U3" s="43">
        <f>Q3-0.802</f>
        <v>0.42300000000000004</v>
      </c>
      <c r="V3" s="43">
        <f>(T3*60)/230</f>
        <v>0.103095652173913</v>
      </c>
      <c r="W3" s="43">
        <f>(U3*60)/235</f>
        <v>0.10800000000000001</v>
      </c>
      <c r="X3" s="43">
        <f t="shared" ref="X3:Y31" si="2">(V3/0.036)*10</f>
        <v>28.637681159420282</v>
      </c>
      <c r="Y3" s="43">
        <f t="shared" si="2"/>
        <v>30.000000000000004</v>
      </c>
      <c r="Z3" s="43">
        <f t="shared" ref="Z3:Z31" si="3">AVERAGE(X3:Y3)</f>
        <v>29.318840579710141</v>
      </c>
      <c r="AA3" s="33">
        <f>Z3/0.67</f>
        <v>43.759463551806178</v>
      </c>
      <c r="AC3" s="15" t="s">
        <v>147</v>
      </c>
      <c r="AD3" s="4">
        <v>1.2371000000000001</v>
      </c>
      <c r="AE3" s="4">
        <v>1.2405999999999999</v>
      </c>
      <c r="AF3" s="4" t="s">
        <v>40</v>
      </c>
      <c r="AG3" s="4" t="s">
        <v>40</v>
      </c>
      <c r="AH3" s="4">
        <f>AD3-0.8705</f>
        <v>0.36660000000000004</v>
      </c>
      <c r="AI3" s="43">
        <f>AE3-0.8906</f>
        <v>0.35</v>
      </c>
      <c r="AJ3" s="43">
        <f>(AH3*60)/235</f>
        <v>9.3600000000000003E-2</v>
      </c>
      <c r="AK3" s="43">
        <f>(AI3*60)/235</f>
        <v>8.9361702127659579E-2</v>
      </c>
      <c r="AL3" s="43">
        <f t="shared" ref="AL3:AM31" si="4">(AJ3/0.036)*10</f>
        <v>26</v>
      </c>
      <c r="AM3" s="43">
        <f t="shared" si="4"/>
        <v>24.822695035460995</v>
      </c>
      <c r="AN3" s="43">
        <f t="shared" ref="AN3:AN31" si="5">AVERAGE(AL3:AM3)</f>
        <v>25.411347517730498</v>
      </c>
      <c r="AO3" s="33">
        <f>AN3/0.68</f>
        <v>37.369628702544844</v>
      </c>
      <c r="AP3" s="42"/>
      <c r="AR3" s="15" t="s">
        <v>147</v>
      </c>
      <c r="AS3" s="28">
        <f t="shared" ref="AS3:AS31" si="6">AVERAGE(AO3,AA3,M3)</f>
        <v>39.732812732012462</v>
      </c>
      <c r="AT3" s="28">
        <f t="shared" ref="AT3:AT31" si="7">STDEV(M3,AA3,AO3)</f>
        <v>3.5046880991176659</v>
      </c>
      <c r="AU3" s="95"/>
      <c r="AV3" s="95"/>
    </row>
    <row r="4" spans="1:48" ht="19.149999999999999" customHeight="1" x14ac:dyDescent="0.25">
      <c r="A4" s="15" t="s">
        <v>148</v>
      </c>
      <c r="B4" s="4">
        <v>1.2475000000000001</v>
      </c>
      <c r="C4" s="4">
        <v>1.1134999999999999</v>
      </c>
      <c r="D4" s="4" t="s">
        <v>43</v>
      </c>
      <c r="E4" s="4" t="s">
        <v>39</v>
      </c>
      <c r="F4" s="4">
        <f>B4-0.9626</f>
        <v>0.28490000000000004</v>
      </c>
      <c r="G4" s="43">
        <f>C4-0.8964</f>
        <v>0.21709999999999996</v>
      </c>
      <c r="H4" s="43">
        <f>(F4*60)/220</f>
        <v>7.7700000000000005E-2</v>
      </c>
      <c r="I4" s="43">
        <f>(G4*60)/240</f>
        <v>5.427499999999999E-2</v>
      </c>
      <c r="J4" s="43">
        <f t="shared" si="0"/>
        <v>21.583333333333336</v>
      </c>
      <c r="K4" s="43">
        <f t="shared" si="0"/>
        <v>15.076388888888888</v>
      </c>
      <c r="L4" s="43">
        <f t="shared" si="1"/>
        <v>18.329861111111111</v>
      </c>
      <c r="M4" s="33">
        <f>L4/0.52</f>
        <v>35.249732905982903</v>
      </c>
      <c r="O4" s="15" t="s">
        <v>148</v>
      </c>
      <c r="P4" s="4">
        <v>1.2589999999999999</v>
      </c>
      <c r="Q4" s="4">
        <v>1.248</v>
      </c>
      <c r="R4" s="4" t="s">
        <v>42</v>
      </c>
      <c r="S4" s="4" t="s">
        <v>41</v>
      </c>
      <c r="T4" s="4">
        <f>P4-0.7789</f>
        <v>0.48009999999999986</v>
      </c>
      <c r="U4" s="43">
        <f>Q4-0.79</f>
        <v>0.45799999999999996</v>
      </c>
      <c r="V4" s="43">
        <f>(T4*60)/225</f>
        <v>0.12802666666666662</v>
      </c>
      <c r="W4" s="43">
        <f>(U4*60)/230</f>
        <v>0.1194782608695652</v>
      </c>
      <c r="X4" s="43">
        <f t="shared" si="2"/>
        <v>35.562962962962949</v>
      </c>
      <c r="Y4" s="43">
        <f t="shared" si="2"/>
        <v>33.188405797101446</v>
      </c>
      <c r="Z4" s="43">
        <f t="shared" si="3"/>
        <v>34.375684380032197</v>
      </c>
      <c r="AA4" s="33">
        <f>Z4/0.83</f>
        <v>41.416487204858072</v>
      </c>
      <c r="AC4" s="15" t="s">
        <v>148</v>
      </c>
      <c r="AD4" s="4">
        <v>1.1718999999999999</v>
      </c>
      <c r="AE4" s="4">
        <v>1.1978</v>
      </c>
      <c r="AF4" s="4" t="s">
        <v>43</v>
      </c>
      <c r="AG4" s="4" t="s">
        <v>41</v>
      </c>
      <c r="AH4" s="4">
        <f>AD4-0.9015</f>
        <v>0.27039999999999997</v>
      </c>
      <c r="AI4" s="43">
        <f>AE4-0.943</f>
        <v>0.25480000000000003</v>
      </c>
      <c r="AJ4" s="43">
        <f>(AH4*60)/220</f>
        <v>7.3745454545454531E-2</v>
      </c>
      <c r="AK4" s="43">
        <f>(AI4*60)/230</f>
        <v>6.6469565217391308E-2</v>
      </c>
      <c r="AL4" s="43">
        <f t="shared" si="4"/>
        <v>20.484848484848484</v>
      </c>
      <c r="AM4" s="43">
        <f t="shared" si="4"/>
        <v>18.463768115942031</v>
      </c>
      <c r="AN4" s="43">
        <f t="shared" si="5"/>
        <v>19.474308300395258</v>
      </c>
      <c r="AO4" s="33">
        <f>AN4/0.5</f>
        <v>38.948616600790515</v>
      </c>
      <c r="AP4" s="42"/>
      <c r="AR4" s="15" t="s">
        <v>148</v>
      </c>
      <c r="AS4" s="28">
        <f t="shared" si="6"/>
        <v>38.538278903877163</v>
      </c>
      <c r="AT4" s="28">
        <f t="shared" si="7"/>
        <v>3.1037875917667046</v>
      </c>
      <c r="AU4" s="95"/>
      <c r="AV4" s="95"/>
    </row>
    <row r="5" spans="1:48" ht="16.899999999999999" customHeight="1" x14ac:dyDescent="0.25">
      <c r="A5" s="16" t="s">
        <v>29</v>
      </c>
      <c r="B5" s="4">
        <v>1.2524</v>
      </c>
      <c r="C5" s="4">
        <v>1.1346000000000001</v>
      </c>
      <c r="D5" s="4" t="s">
        <v>39</v>
      </c>
      <c r="E5" s="4" t="s">
        <v>42</v>
      </c>
      <c r="F5" s="4">
        <f>B5-0.8772</f>
        <v>0.37519999999999998</v>
      </c>
      <c r="G5" s="43">
        <f>C5-0.8612</f>
        <v>0.27340000000000009</v>
      </c>
      <c r="H5" s="43">
        <f>(F5*60)/240</f>
        <v>9.3800000000000008E-2</v>
      </c>
      <c r="I5" s="43">
        <f>(G5*60)/225</f>
        <v>7.2906666666666675E-2</v>
      </c>
      <c r="J5" s="43">
        <f t="shared" si="0"/>
        <v>26.055555555555561</v>
      </c>
      <c r="K5" s="43">
        <f t="shared" si="0"/>
        <v>20.251851851851853</v>
      </c>
      <c r="L5" s="43">
        <f t="shared" si="1"/>
        <v>23.153703703703705</v>
      </c>
      <c r="M5" s="33">
        <f>L5/0.64</f>
        <v>36.177662037037038</v>
      </c>
      <c r="O5" s="16" t="s">
        <v>29</v>
      </c>
      <c r="P5" s="4">
        <v>1.3163</v>
      </c>
      <c r="Q5" s="4">
        <v>1.27</v>
      </c>
      <c r="R5" s="4" t="s">
        <v>41</v>
      </c>
      <c r="S5" s="4" t="s">
        <v>41</v>
      </c>
      <c r="T5" s="4">
        <f>P5-0.8247</f>
        <v>0.49160000000000004</v>
      </c>
      <c r="U5" s="43">
        <f>Q5-0.802</f>
        <v>0.46799999999999997</v>
      </c>
      <c r="V5" s="43">
        <f>(T5*60)/230</f>
        <v>0.12824347826086957</v>
      </c>
      <c r="W5" s="43">
        <f>(U5*60)/230</f>
        <v>0.12208695652173912</v>
      </c>
      <c r="X5" s="43">
        <f t="shared" si="2"/>
        <v>35.623188405797109</v>
      </c>
      <c r="Y5" s="43">
        <f t="shared" si="2"/>
        <v>33.913043478260867</v>
      </c>
      <c r="Z5" s="43">
        <f t="shared" si="3"/>
        <v>34.768115942028984</v>
      </c>
      <c r="AA5" s="33">
        <f>Z5/0.79</f>
        <v>44.010273344340483</v>
      </c>
      <c r="AC5" s="16" t="s">
        <v>29</v>
      </c>
      <c r="AD5" s="4">
        <v>1.121</v>
      </c>
      <c r="AE5" s="4">
        <v>1.145</v>
      </c>
      <c r="AF5" s="4" t="s">
        <v>43</v>
      </c>
      <c r="AG5" s="4" t="s">
        <v>41</v>
      </c>
      <c r="AH5" s="4">
        <f>AD5-0.8609</f>
        <v>0.2601</v>
      </c>
      <c r="AI5" s="43">
        <f>AE5-0.8879</f>
        <v>0.2571</v>
      </c>
      <c r="AJ5" s="43">
        <f>(AH5*60)/220</f>
        <v>7.0936363636363631E-2</v>
      </c>
      <c r="AK5" s="43">
        <f>(AI5*60)/230</f>
        <v>6.7069565217391311E-2</v>
      </c>
      <c r="AL5" s="43">
        <f t="shared" si="4"/>
        <v>19.704545454545453</v>
      </c>
      <c r="AM5" s="43">
        <f t="shared" si="4"/>
        <v>18.630434782608699</v>
      </c>
      <c r="AN5" s="43">
        <f t="shared" si="5"/>
        <v>19.167490118577078</v>
      </c>
      <c r="AO5" s="33">
        <f>AN5/0.51</f>
        <v>37.583313957994271</v>
      </c>
      <c r="AP5" s="42"/>
      <c r="AQ5" s="42"/>
      <c r="AR5" s="16" t="s">
        <v>29</v>
      </c>
      <c r="AS5" s="28">
        <f t="shared" si="6"/>
        <v>39.257083113123933</v>
      </c>
      <c r="AT5" s="28">
        <f t="shared" si="7"/>
        <v>4.1759522700004652</v>
      </c>
      <c r="AU5" s="95"/>
      <c r="AV5" s="95"/>
    </row>
    <row r="6" spans="1:48" ht="16.899999999999999" customHeight="1" x14ac:dyDescent="0.25">
      <c r="A6" s="16" t="s">
        <v>30</v>
      </c>
      <c r="B6" s="4">
        <v>1.2426999999999999</v>
      </c>
      <c r="C6" s="4">
        <v>1.2424999999999999</v>
      </c>
      <c r="D6" s="4" t="s">
        <v>41</v>
      </c>
      <c r="E6" s="4" t="s">
        <v>39</v>
      </c>
      <c r="F6" s="4">
        <f>B6-0.822</f>
        <v>0.42069999999999996</v>
      </c>
      <c r="G6" s="43">
        <f>C6-0.8252</f>
        <v>0.41729999999999989</v>
      </c>
      <c r="H6" s="43">
        <f>(F6*60)/230</f>
        <v>0.1097478260869565</v>
      </c>
      <c r="I6" s="43">
        <f>(G6*60)/240</f>
        <v>0.10432499999999997</v>
      </c>
      <c r="J6" s="43">
        <f t="shared" si="0"/>
        <v>30.485507246376812</v>
      </c>
      <c r="K6" s="43">
        <f t="shared" si="0"/>
        <v>28.979166666666664</v>
      </c>
      <c r="L6" s="43">
        <f t="shared" si="1"/>
        <v>29.732336956521738</v>
      </c>
      <c r="M6" s="33">
        <f>L6/0.79</f>
        <v>37.635869565217391</v>
      </c>
      <c r="O6" s="16" t="s">
        <v>30</v>
      </c>
      <c r="P6" s="4">
        <v>1.2506999999999999</v>
      </c>
      <c r="Q6" s="4">
        <v>1.3459000000000001</v>
      </c>
      <c r="R6" s="4" t="s">
        <v>42</v>
      </c>
      <c r="S6" s="4" t="s">
        <v>41</v>
      </c>
      <c r="T6" s="4">
        <f>P6-0.8644</f>
        <v>0.38629999999999998</v>
      </c>
      <c r="U6" s="43">
        <f>Q6-0.8587</f>
        <v>0.48720000000000008</v>
      </c>
      <c r="V6" s="43">
        <f>(T6*60)/225</f>
        <v>0.10301333333333332</v>
      </c>
      <c r="W6" s="43">
        <f>(U6*60)/230</f>
        <v>0.12709565217391308</v>
      </c>
      <c r="X6" s="43">
        <f t="shared" si="2"/>
        <v>28.614814814814814</v>
      </c>
      <c r="Y6" s="43">
        <f t="shared" si="2"/>
        <v>35.304347826086968</v>
      </c>
      <c r="Z6" s="43">
        <f t="shared" si="3"/>
        <v>31.959581320450891</v>
      </c>
      <c r="AA6" s="33">
        <f>Z6/0.73</f>
        <v>43.780248384179302</v>
      </c>
      <c r="AC6" s="16" t="s">
        <v>30</v>
      </c>
      <c r="AD6" s="4">
        <v>1.2232000000000001</v>
      </c>
      <c r="AE6" s="4">
        <v>1.2325999999999999</v>
      </c>
      <c r="AF6" s="4" t="s">
        <v>40</v>
      </c>
      <c r="AG6" s="4" t="s">
        <v>41</v>
      </c>
      <c r="AH6" s="4">
        <f>AD6-0.8351</f>
        <v>0.38810000000000011</v>
      </c>
      <c r="AI6" s="43">
        <f>AE6-0.865</f>
        <v>0.36759999999999993</v>
      </c>
      <c r="AJ6" s="43">
        <f>(AH6*60)/235</f>
        <v>9.908936170212769E-2</v>
      </c>
      <c r="AK6" s="43">
        <f>(AI6*60)/230</f>
        <v>9.5895652173913035E-2</v>
      </c>
      <c r="AL6" s="43">
        <f t="shared" si="4"/>
        <v>27.524822695035471</v>
      </c>
      <c r="AM6" s="43">
        <f t="shared" si="4"/>
        <v>26.637681159420289</v>
      </c>
      <c r="AN6" s="43">
        <f t="shared" si="5"/>
        <v>27.081251927227882</v>
      </c>
      <c r="AO6" s="33">
        <f>AN6/0.68</f>
        <v>39.825370481217469</v>
      </c>
      <c r="AP6" s="42"/>
      <c r="AR6" s="16" t="s">
        <v>30</v>
      </c>
      <c r="AS6" s="28">
        <f t="shared" si="6"/>
        <v>40.413829476871385</v>
      </c>
      <c r="AT6" s="28">
        <f t="shared" si="7"/>
        <v>3.1141709586824962</v>
      </c>
      <c r="AU6" s="95"/>
      <c r="AV6" s="95"/>
    </row>
    <row r="7" spans="1:48" ht="18" customHeight="1" x14ac:dyDescent="0.25">
      <c r="A7" s="17" t="s">
        <v>149</v>
      </c>
      <c r="B7" s="4">
        <v>1.5069999999999999</v>
      </c>
      <c r="C7" s="4">
        <v>1.5412999999999999</v>
      </c>
      <c r="D7" s="4" t="s">
        <v>41</v>
      </c>
      <c r="E7" s="4" t="s">
        <v>39</v>
      </c>
      <c r="F7" s="4">
        <f>B7-1.0659</f>
        <v>0.44109999999999983</v>
      </c>
      <c r="G7" s="43">
        <f>C7-1.0909</f>
        <v>0.45039999999999991</v>
      </c>
      <c r="H7" s="43">
        <f>(F7*60)/230</f>
        <v>0.11506956521739126</v>
      </c>
      <c r="I7" s="43">
        <f>(G7*60)/240</f>
        <v>0.11259999999999998</v>
      </c>
      <c r="J7" s="43">
        <f t="shared" si="0"/>
        <v>31.96376811594202</v>
      </c>
      <c r="K7" s="43">
        <f t="shared" si="0"/>
        <v>31.277777777777771</v>
      </c>
      <c r="L7" s="43">
        <f t="shared" si="1"/>
        <v>31.620772946859894</v>
      </c>
      <c r="M7" s="33">
        <f>L7/0.78</f>
        <v>40.539452495974224</v>
      </c>
      <c r="O7" s="17" t="s">
        <v>149</v>
      </c>
      <c r="P7" s="4">
        <v>1.4671000000000001</v>
      </c>
      <c r="Q7" s="4">
        <v>1.355</v>
      </c>
      <c r="R7" s="4" t="s">
        <v>40</v>
      </c>
      <c r="S7" s="4" t="s">
        <v>41</v>
      </c>
      <c r="T7" s="4">
        <f>P7-1.0822</f>
        <v>0.38490000000000002</v>
      </c>
      <c r="U7" s="43">
        <f>Q7-1.0797</f>
        <v>0.27529999999999988</v>
      </c>
      <c r="V7" s="43">
        <f>(T7*60)/235</f>
        <v>9.8272340425531915E-2</v>
      </c>
      <c r="W7" s="43">
        <f>(U7*60)/230</f>
        <v>7.1817391304347791E-2</v>
      </c>
      <c r="X7" s="43">
        <f t="shared" si="2"/>
        <v>27.297872340425535</v>
      </c>
      <c r="Y7" s="43">
        <f t="shared" si="2"/>
        <v>19.949275362318833</v>
      </c>
      <c r="Z7" s="43">
        <f t="shared" si="3"/>
        <v>23.623573851372186</v>
      </c>
      <c r="AA7" s="33">
        <f>Z7/0.62</f>
        <v>38.102538469955135</v>
      </c>
      <c r="AC7" s="17" t="s">
        <v>149</v>
      </c>
      <c r="AD7" s="4">
        <v>1.2966</v>
      </c>
      <c r="AE7" s="4">
        <v>1.3221000000000001</v>
      </c>
      <c r="AF7" s="4" t="s">
        <v>42</v>
      </c>
      <c r="AG7" s="4" t="s">
        <v>41</v>
      </c>
      <c r="AH7" s="4">
        <f>AD7-0.9332</f>
        <v>0.36339999999999995</v>
      </c>
      <c r="AI7" s="43">
        <f>AE7-0.9672</f>
        <v>0.3549000000000001</v>
      </c>
      <c r="AJ7" s="43">
        <f>(AH7*60)/225</f>
        <v>9.6906666666666641E-2</v>
      </c>
      <c r="AK7" s="43">
        <f>(AI7*60)/230</f>
        <v>9.2582608695652213E-2</v>
      </c>
      <c r="AL7" s="43">
        <f t="shared" si="4"/>
        <v>26.918518518518514</v>
      </c>
      <c r="AM7" s="43">
        <f t="shared" si="4"/>
        <v>25.717391304347839</v>
      </c>
      <c r="AN7" s="43">
        <f t="shared" si="5"/>
        <v>26.317954911433176</v>
      </c>
      <c r="AO7" s="33">
        <f>AN7/0.71</f>
        <v>37.067542128779124</v>
      </c>
      <c r="AP7" s="42"/>
      <c r="AR7" s="17" t="s">
        <v>149</v>
      </c>
      <c r="AS7" s="28">
        <f t="shared" si="6"/>
        <v>38.569844364902828</v>
      </c>
      <c r="AT7" s="28">
        <f t="shared" si="7"/>
        <v>1.7825042774279258</v>
      </c>
      <c r="AU7" s="95"/>
      <c r="AV7" s="95"/>
    </row>
    <row r="8" spans="1:48" ht="18.600000000000001" customHeight="1" x14ac:dyDescent="0.25">
      <c r="A8" s="17" t="s">
        <v>150</v>
      </c>
      <c r="B8" s="4">
        <v>1.3104</v>
      </c>
      <c r="C8" s="4">
        <v>1.5031000000000001</v>
      </c>
      <c r="D8" s="4" t="s">
        <v>40</v>
      </c>
      <c r="E8" s="4" t="s">
        <v>40</v>
      </c>
      <c r="F8" s="4">
        <f>B8-1.1716</f>
        <v>0.13880000000000003</v>
      </c>
      <c r="G8" s="43">
        <f>C8-1.2354</f>
        <v>0.26770000000000005</v>
      </c>
      <c r="H8" s="43">
        <f>(F8*60)/235</f>
        <v>3.5438297872340437E-2</v>
      </c>
      <c r="I8" s="43">
        <f>(G8*60)/235</f>
        <v>6.8348936170212787E-2</v>
      </c>
      <c r="J8" s="43">
        <f t="shared" si="0"/>
        <v>9.8439716312056778</v>
      </c>
      <c r="K8" s="43">
        <f t="shared" si="0"/>
        <v>18.985815602836887</v>
      </c>
      <c r="L8" s="43">
        <f t="shared" si="1"/>
        <v>14.414893617021281</v>
      </c>
      <c r="M8" s="33">
        <f>L8/0.33</f>
        <v>43.681495809155393</v>
      </c>
      <c r="O8" s="17" t="s">
        <v>150</v>
      </c>
      <c r="P8" s="4">
        <v>1.5021</v>
      </c>
      <c r="Q8" s="4">
        <v>1.5980000000000001</v>
      </c>
      <c r="R8" s="4" t="s">
        <v>39</v>
      </c>
      <c r="S8" s="4" t="s">
        <v>40</v>
      </c>
      <c r="T8" s="4">
        <f>P8-1.3455</f>
        <v>0.15660000000000007</v>
      </c>
      <c r="U8" s="43">
        <f>Q8-1.3587</f>
        <v>0.23930000000000007</v>
      </c>
      <c r="V8" s="43">
        <f>(T8*60)/240</f>
        <v>3.9150000000000018E-2</v>
      </c>
      <c r="W8" s="43">
        <f>(U8*60)/235</f>
        <v>6.1097872340425546E-2</v>
      </c>
      <c r="X8" s="43">
        <f t="shared" si="2"/>
        <v>10.875000000000005</v>
      </c>
      <c r="Y8" s="43">
        <f t="shared" si="2"/>
        <v>16.971631205673766</v>
      </c>
      <c r="Z8" s="43">
        <f t="shared" si="3"/>
        <v>13.923315602836887</v>
      </c>
      <c r="AA8" s="33">
        <f>Z8/0.33</f>
        <v>42.191865463142079</v>
      </c>
      <c r="AC8" s="17" t="s">
        <v>150</v>
      </c>
      <c r="AD8" s="4">
        <v>1.4182999999999999</v>
      </c>
      <c r="AE8" s="4">
        <v>1.4319999999999999</v>
      </c>
      <c r="AF8" s="4" t="s">
        <v>43</v>
      </c>
      <c r="AG8" s="4" t="s">
        <v>42</v>
      </c>
      <c r="AH8" s="4">
        <f>AD8-1.2422</f>
        <v>0.17609999999999992</v>
      </c>
      <c r="AI8" s="43">
        <f>AE8-1.2367</f>
        <v>0.19530000000000003</v>
      </c>
      <c r="AJ8" s="43">
        <f>(AH8*60)/220</f>
        <v>4.8027272727272703E-2</v>
      </c>
      <c r="AK8" s="43">
        <f>(AI8*60)/225</f>
        <v>5.2080000000000008E-2</v>
      </c>
      <c r="AL8" s="43">
        <f t="shared" si="4"/>
        <v>13.340909090909086</v>
      </c>
      <c r="AM8" s="43">
        <f t="shared" si="4"/>
        <v>14.46666666666667</v>
      </c>
      <c r="AN8" s="43">
        <f t="shared" si="5"/>
        <v>13.903787878787877</v>
      </c>
      <c r="AO8" s="33">
        <f>AN8/0.38</f>
        <v>36.588915470494413</v>
      </c>
      <c r="AP8" s="42"/>
      <c r="AR8" s="17" t="s">
        <v>150</v>
      </c>
      <c r="AS8" s="28">
        <f t="shared" si="6"/>
        <v>40.820758914263962</v>
      </c>
      <c r="AT8" s="28">
        <f t="shared" si="7"/>
        <v>3.7398026473829367</v>
      </c>
      <c r="AU8" s="95"/>
      <c r="AV8" s="95"/>
    </row>
    <row r="9" spans="1:48" ht="18" customHeight="1" x14ac:dyDescent="0.25">
      <c r="A9" s="16" t="s">
        <v>151</v>
      </c>
      <c r="B9" s="4">
        <v>1.3294999999999999</v>
      </c>
      <c r="C9" s="4">
        <v>1.3827</v>
      </c>
      <c r="D9" s="4" t="s">
        <v>40</v>
      </c>
      <c r="E9" s="4" t="s">
        <v>40</v>
      </c>
      <c r="F9" s="4">
        <f>B9-0.9436</f>
        <v>0.38589999999999991</v>
      </c>
      <c r="G9" s="43">
        <f>C9-1.0716</f>
        <v>0.31109999999999993</v>
      </c>
      <c r="H9" s="43">
        <f>(F9*60)/235</f>
        <v>9.8527659574468074E-2</v>
      </c>
      <c r="I9" s="43">
        <f>(G9*60)/235</f>
        <v>7.9429787234042537E-2</v>
      </c>
      <c r="J9" s="43">
        <f t="shared" si="0"/>
        <v>27.368794326241137</v>
      </c>
      <c r="K9" s="43">
        <f t="shared" si="0"/>
        <v>22.063829787234042</v>
      </c>
      <c r="L9" s="43">
        <f t="shared" si="1"/>
        <v>24.716312056737589</v>
      </c>
      <c r="M9" s="33">
        <f>L9/0.64</f>
        <v>38.619237588652481</v>
      </c>
      <c r="O9" s="16" t="s">
        <v>151</v>
      </c>
      <c r="P9" s="4">
        <v>1.1814</v>
      </c>
      <c r="Q9" s="4">
        <v>1.1898</v>
      </c>
      <c r="R9" s="4" t="s">
        <v>42</v>
      </c>
      <c r="S9" s="4" t="s">
        <v>41</v>
      </c>
      <c r="T9" s="4">
        <f>P9-0.8945</f>
        <v>0.28690000000000004</v>
      </c>
      <c r="U9" s="43">
        <f>Q9-0.855</f>
        <v>0.33479999999999999</v>
      </c>
      <c r="V9" s="43">
        <f>(T9*60)/225</f>
        <v>7.6506666666666681E-2</v>
      </c>
      <c r="W9" s="43">
        <f>(U9*60)/230</f>
        <v>8.7339130434782614E-2</v>
      </c>
      <c r="X9" s="43">
        <f t="shared" si="2"/>
        <v>21.25185185185186</v>
      </c>
      <c r="Y9" s="43">
        <f t="shared" si="2"/>
        <v>24.260869565217394</v>
      </c>
      <c r="Z9" s="43">
        <f t="shared" si="3"/>
        <v>22.756360708534629</v>
      </c>
      <c r="AA9" s="33">
        <f>Z9/0.6</f>
        <v>37.927267847557715</v>
      </c>
      <c r="AC9" s="16" t="s">
        <v>151</v>
      </c>
      <c r="AD9" s="4">
        <v>1.1959</v>
      </c>
      <c r="AE9" s="4">
        <v>1.1981999999999999</v>
      </c>
      <c r="AF9" s="4" t="s">
        <v>41</v>
      </c>
      <c r="AG9" s="4" t="s">
        <v>41</v>
      </c>
      <c r="AH9" s="4">
        <f>AD9-0.8963</f>
        <v>0.29959999999999998</v>
      </c>
      <c r="AI9" s="43">
        <f>AE9-0.9001</f>
        <v>0.29809999999999992</v>
      </c>
      <c r="AJ9" s="43">
        <f>(AH9*60)/230</f>
        <v>7.815652173913043E-2</v>
      </c>
      <c r="AK9" s="43">
        <f>(AI9*60)/230</f>
        <v>7.7765217391304334E-2</v>
      </c>
      <c r="AL9" s="43">
        <f t="shared" si="4"/>
        <v>21.710144927536234</v>
      </c>
      <c r="AM9" s="43">
        <f t="shared" si="4"/>
        <v>21.601449275362317</v>
      </c>
      <c r="AN9" s="43">
        <f t="shared" si="5"/>
        <v>21.655797101449274</v>
      </c>
      <c r="AO9" s="33">
        <f>AN9/0.6</f>
        <v>36.092995169082123</v>
      </c>
      <c r="AP9" s="42"/>
      <c r="AR9" s="16" t="s">
        <v>151</v>
      </c>
      <c r="AS9" s="28">
        <f t="shared" si="6"/>
        <v>37.546500201764104</v>
      </c>
      <c r="AT9" s="28">
        <f t="shared" si="7"/>
        <v>1.3054551660901956</v>
      </c>
      <c r="AU9" s="95"/>
      <c r="AV9" s="95"/>
    </row>
    <row r="10" spans="1:48" ht="19.149999999999999" customHeight="1" x14ac:dyDescent="0.25">
      <c r="A10" s="16" t="s">
        <v>152</v>
      </c>
      <c r="B10" s="4">
        <v>1.4277</v>
      </c>
      <c r="C10" s="4">
        <v>1.1604000000000001</v>
      </c>
      <c r="D10" s="4" t="s">
        <v>41</v>
      </c>
      <c r="E10" s="4" t="s">
        <v>39</v>
      </c>
      <c r="F10" s="4">
        <f>B10-0.9948</f>
        <v>0.43289999999999995</v>
      </c>
      <c r="G10" s="43">
        <f>C10-0.8164</f>
        <v>0.34400000000000008</v>
      </c>
      <c r="H10" s="43">
        <f>(F10*60)/230</f>
        <v>0.11293043478260868</v>
      </c>
      <c r="I10" s="43">
        <f>(G10*60)/240</f>
        <v>8.6000000000000021E-2</v>
      </c>
      <c r="J10" s="43">
        <f t="shared" si="0"/>
        <v>31.369565217391301</v>
      </c>
      <c r="K10" s="43">
        <f t="shared" si="0"/>
        <v>23.888888888888896</v>
      </c>
      <c r="L10" s="43">
        <f t="shared" si="1"/>
        <v>27.629227053140099</v>
      </c>
      <c r="M10" s="33">
        <f>L10/0.68</f>
        <v>40.63121625461779</v>
      </c>
      <c r="O10" s="16" t="s">
        <v>152</v>
      </c>
      <c r="P10" s="4">
        <v>1.1471</v>
      </c>
      <c r="Q10" s="4">
        <v>1.141</v>
      </c>
      <c r="R10" s="4" t="s">
        <v>43</v>
      </c>
      <c r="S10" s="4" t="s">
        <v>42</v>
      </c>
      <c r="T10" s="4">
        <f>P10-0.87233</f>
        <v>0.27476999999999996</v>
      </c>
      <c r="U10" s="43">
        <f>Q10-0.8507</f>
        <v>0.2903</v>
      </c>
      <c r="V10" s="43">
        <f>(T10*60)/220</f>
        <v>7.4937272727272713E-2</v>
      </c>
      <c r="W10" s="43">
        <f>(U10*60)/225</f>
        <v>7.7413333333333334E-2</v>
      </c>
      <c r="X10" s="43">
        <f t="shared" si="2"/>
        <v>20.815909090909091</v>
      </c>
      <c r="Y10" s="43">
        <f t="shared" si="2"/>
        <v>21.503703703703707</v>
      </c>
      <c r="Z10" s="43">
        <f t="shared" si="3"/>
        <v>21.159806397306397</v>
      </c>
      <c r="AA10" s="33">
        <f>Z10/0.58</f>
        <v>36.482424822942065</v>
      </c>
      <c r="AC10" s="16" t="s">
        <v>152</v>
      </c>
      <c r="AD10" s="4">
        <v>1.3012999999999999</v>
      </c>
      <c r="AE10" s="4">
        <v>1.3045</v>
      </c>
      <c r="AF10" s="4" t="s">
        <v>39</v>
      </c>
      <c r="AG10" s="4" t="s">
        <v>43</v>
      </c>
      <c r="AH10" s="4">
        <f>AD10-1.0257</f>
        <v>0.27559999999999985</v>
      </c>
      <c r="AI10" s="43">
        <f>AE10-0.9134</f>
        <v>0.3911</v>
      </c>
      <c r="AJ10" s="43">
        <f>(AH10*60)/240</f>
        <v>6.8899999999999961E-2</v>
      </c>
      <c r="AK10" s="43">
        <f>(AI10*60)/220</f>
        <v>0.10666363636363636</v>
      </c>
      <c r="AL10" s="43">
        <f t="shared" si="4"/>
        <v>19.138888888888879</v>
      </c>
      <c r="AM10" s="43">
        <f t="shared" si="4"/>
        <v>29.628787878787879</v>
      </c>
      <c r="AN10" s="43">
        <f t="shared" si="5"/>
        <v>24.383838383838381</v>
      </c>
      <c r="AO10" s="33">
        <f>AN10/0.59</f>
        <v>41.328539633624374</v>
      </c>
      <c r="AP10" s="42"/>
      <c r="AR10" s="16" t="s">
        <v>152</v>
      </c>
      <c r="AS10" s="28">
        <f t="shared" si="6"/>
        <v>39.480726903728076</v>
      </c>
      <c r="AT10" s="28">
        <f t="shared" si="7"/>
        <v>2.6199096357434897</v>
      </c>
      <c r="AU10" s="95"/>
      <c r="AV10" s="95"/>
    </row>
    <row r="11" spans="1:48" ht="18" customHeight="1" x14ac:dyDescent="0.25">
      <c r="A11" s="16" t="s">
        <v>153</v>
      </c>
      <c r="B11" s="4">
        <v>1.165</v>
      </c>
      <c r="C11" s="4">
        <v>1.1662999999999999</v>
      </c>
      <c r="D11" s="4" t="s">
        <v>42</v>
      </c>
      <c r="E11" s="4" t="s">
        <v>41</v>
      </c>
      <c r="F11" s="4">
        <f>B11-0.95</f>
        <v>0.21500000000000008</v>
      </c>
      <c r="G11" s="43">
        <f>C11-0.9435</f>
        <v>0.22279999999999989</v>
      </c>
      <c r="H11" s="43">
        <f>(F11*60)/225</f>
        <v>5.7333333333333361E-2</v>
      </c>
      <c r="I11" s="43">
        <f>(G11*60)/230</f>
        <v>5.8121739130434752E-2</v>
      </c>
      <c r="J11" s="43">
        <f t="shared" si="0"/>
        <v>15.925925925925934</v>
      </c>
      <c r="K11" s="43">
        <f t="shared" si="0"/>
        <v>16.144927536231876</v>
      </c>
      <c r="L11" s="43">
        <f t="shared" si="1"/>
        <v>16.035426731078907</v>
      </c>
      <c r="M11" s="33">
        <f>L11/0.37</f>
        <v>43.338991165078127</v>
      </c>
      <c r="O11" s="16" t="s">
        <v>153</v>
      </c>
      <c r="P11" s="4">
        <v>1.1546000000000001</v>
      </c>
      <c r="Q11" s="4">
        <v>1.1508</v>
      </c>
      <c r="R11" s="4" t="s">
        <v>42</v>
      </c>
      <c r="S11" s="4" t="s">
        <v>42</v>
      </c>
      <c r="T11" s="4">
        <f>P11-0.9137</f>
        <v>0.24090000000000011</v>
      </c>
      <c r="U11" s="43">
        <f>Q11-0.901</f>
        <v>0.24980000000000002</v>
      </c>
      <c r="V11" s="43">
        <f>(T11*60)/225</f>
        <v>6.4240000000000033E-2</v>
      </c>
      <c r="W11" s="43">
        <f>(U11*60)/225</f>
        <v>6.6613333333333344E-2</v>
      </c>
      <c r="X11" s="43">
        <f t="shared" si="2"/>
        <v>17.844444444444456</v>
      </c>
      <c r="Y11" s="43">
        <f t="shared" si="2"/>
        <v>18.50370370370371</v>
      </c>
      <c r="Z11" s="43">
        <f t="shared" si="3"/>
        <v>18.174074074074085</v>
      </c>
      <c r="AA11" s="33">
        <f>Z11/0.43</f>
        <v>42.265288544358334</v>
      </c>
      <c r="AC11" s="16" t="s">
        <v>153</v>
      </c>
      <c r="AD11" s="4">
        <v>1.0799000000000001</v>
      </c>
      <c r="AE11" s="4">
        <v>1.1211</v>
      </c>
      <c r="AF11" s="4" t="s">
        <v>42</v>
      </c>
      <c r="AG11" s="4" t="s">
        <v>41</v>
      </c>
      <c r="AH11" s="4">
        <f>AD11-0.8498</f>
        <v>0.23010000000000008</v>
      </c>
      <c r="AI11" s="43">
        <f>AE11-0.8564</f>
        <v>0.26469999999999994</v>
      </c>
      <c r="AJ11" s="43">
        <f>(AH11*60)/225</f>
        <v>6.1360000000000019E-2</v>
      </c>
      <c r="AK11" s="43">
        <f>(AI11*60)/230</f>
        <v>6.9052173913043455E-2</v>
      </c>
      <c r="AL11" s="43">
        <f t="shared" si="4"/>
        <v>17.044444444444451</v>
      </c>
      <c r="AM11" s="43">
        <f t="shared" si="4"/>
        <v>19.181159420289852</v>
      </c>
      <c r="AN11" s="43">
        <f t="shared" si="5"/>
        <v>18.112801932367152</v>
      </c>
      <c r="AO11" s="33">
        <f>AN11/0.45</f>
        <v>40.250670960815889</v>
      </c>
      <c r="AP11" s="42"/>
      <c r="AQ11" s="42"/>
      <c r="AR11" s="16" t="s">
        <v>153</v>
      </c>
      <c r="AS11" s="28">
        <f t="shared" si="6"/>
        <v>41.951650223417452</v>
      </c>
      <c r="AT11" s="28">
        <f t="shared" si="7"/>
        <v>1.5678670760895361</v>
      </c>
      <c r="AU11" s="95"/>
      <c r="AV11" s="95"/>
    </row>
    <row r="12" spans="1:48" ht="18" customHeight="1" x14ac:dyDescent="0.25">
      <c r="A12" s="16" t="s">
        <v>154</v>
      </c>
      <c r="B12" s="4">
        <v>1.4472</v>
      </c>
      <c r="C12" s="4">
        <v>1.3914</v>
      </c>
      <c r="D12" s="4" t="s">
        <v>40</v>
      </c>
      <c r="E12" s="4" t="s">
        <v>40</v>
      </c>
      <c r="F12" s="4">
        <f>B12-0.8103</f>
        <v>0.63690000000000002</v>
      </c>
      <c r="G12" s="43">
        <f>C12-0.8305</f>
        <v>0.56089999999999995</v>
      </c>
      <c r="H12" s="43">
        <f>(F12*60)/235</f>
        <v>0.16261276595744681</v>
      </c>
      <c r="I12" s="43">
        <f>(G12*60)/235</f>
        <v>0.14320851063829787</v>
      </c>
      <c r="J12" s="43">
        <f t="shared" si="0"/>
        <v>45.170212765957451</v>
      </c>
      <c r="K12" s="43">
        <f t="shared" si="0"/>
        <v>39.780141843971634</v>
      </c>
      <c r="L12" s="43">
        <f t="shared" si="1"/>
        <v>42.475177304964546</v>
      </c>
      <c r="M12" s="33">
        <f>L12/0.59</f>
        <v>71.991825940617886</v>
      </c>
      <c r="O12" s="16" t="s">
        <v>154</v>
      </c>
      <c r="P12" s="4">
        <v>1.1012</v>
      </c>
      <c r="Q12" s="4">
        <v>1.1005</v>
      </c>
      <c r="R12" s="4" t="s">
        <v>43</v>
      </c>
      <c r="S12" s="4" t="s">
        <v>42</v>
      </c>
      <c r="T12" s="4">
        <f>P12-0.9888</f>
        <v>0.11239999999999994</v>
      </c>
      <c r="U12" s="43">
        <f>Q12-0.849</f>
        <v>0.25150000000000006</v>
      </c>
      <c r="V12" s="43">
        <f>(T12*60)/220</f>
        <v>3.0654545454545438E-2</v>
      </c>
      <c r="W12" s="43">
        <f>(U12*60)/225</f>
        <v>6.7066666666666677E-2</v>
      </c>
      <c r="X12" s="43">
        <f t="shared" si="2"/>
        <v>8.515151515151512</v>
      </c>
      <c r="Y12" s="43">
        <f t="shared" si="2"/>
        <v>18.629629629629633</v>
      </c>
      <c r="Z12" s="43">
        <f t="shared" si="3"/>
        <v>13.572390572390573</v>
      </c>
      <c r="AA12" s="33">
        <f>Z12/0.2</f>
        <v>67.861952861952858</v>
      </c>
      <c r="AC12" s="16" t="s">
        <v>154</v>
      </c>
      <c r="AD12" s="4">
        <v>1.1096999999999999</v>
      </c>
      <c r="AE12" s="4">
        <v>1.1149</v>
      </c>
      <c r="AF12" s="4" t="s">
        <v>41</v>
      </c>
      <c r="AG12" s="4" t="s">
        <v>40</v>
      </c>
      <c r="AH12" s="4">
        <f>AD12-0.9989</f>
        <v>0.1107999999999999</v>
      </c>
      <c r="AI12" s="43">
        <f>AE12-0.865</f>
        <v>0.24990000000000001</v>
      </c>
      <c r="AJ12" s="43">
        <f>(AH12*60)/230</f>
        <v>2.8904347826086932E-2</v>
      </c>
      <c r="AK12" s="43">
        <f>(AI12*60)/235</f>
        <v>6.3804255319148934E-2</v>
      </c>
      <c r="AL12" s="43">
        <f t="shared" si="4"/>
        <v>8.0289855072463698</v>
      </c>
      <c r="AM12" s="43">
        <f t="shared" si="4"/>
        <v>17.723404255319149</v>
      </c>
      <c r="AN12" s="43">
        <f t="shared" si="5"/>
        <v>12.87619488128276</v>
      </c>
      <c r="AO12" s="33">
        <f>AN12/0.19</f>
        <v>67.769446743593477</v>
      </c>
      <c r="AP12" s="42"/>
      <c r="AR12" s="16" t="s">
        <v>154</v>
      </c>
      <c r="AS12" s="28">
        <f t="shared" si="6"/>
        <v>69.207741848721412</v>
      </c>
      <c r="AT12" s="28">
        <f t="shared" si="7"/>
        <v>2.4115311564536674</v>
      </c>
      <c r="AU12" s="95"/>
      <c r="AV12" s="95"/>
    </row>
    <row r="13" spans="1:48" ht="18" customHeight="1" x14ac:dyDescent="0.25">
      <c r="A13" s="17" t="s">
        <v>155</v>
      </c>
      <c r="B13" s="4">
        <v>1.5971</v>
      </c>
      <c r="C13" s="4">
        <v>1.4962</v>
      </c>
      <c r="D13" s="4" t="s">
        <v>41</v>
      </c>
      <c r="E13" s="4" t="s">
        <v>42</v>
      </c>
      <c r="F13" s="4">
        <f>B13-1.0304</f>
        <v>0.56669999999999998</v>
      </c>
      <c r="G13" s="43">
        <f>C13-1.0689</f>
        <v>0.42730000000000001</v>
      </c>
      <c r="H13" s="43">
        <f>(F13*60)/230</f>
        <v>0.14783478260869562</v>
      </c>
      <c r="I13" s="43">
        <f>(G13*60)/225</f>
        <v>0.11394666666666667</v>
      </c>
      <c r="J13" s="43">
        <f t="shared" si="0"/>
        <v>41.065217391304344</v>
      </c>
      <c r="K13" s="43">
        <f t="shared" si="0"/>
        <v>31.651851851851855</v>
      </c>
      <c r="L13" s="43">
        <f t="shared" si="1"/>
        <v>36.358534621578102</v>
      </c>
      <c r="M13" s="33">
        <f>L13/0.63</f>
        <v>57.711959716790638</v>
      </c>
      <c r="O13" s="17" t="s">
        <v>155</v>
      </c>
      <c r="P13" s="4">
        <v>1.3254999999999999</v>
      </c>
      <c r="Q13" s="4">
        <v>1.3979999999999999</v>
      </c>
      <c r="R13" s="4" t="s">
        <v>40</v>
      </c>
      <c r="S13" s="4" t="s">
        <v>41</v>
      </c>
      <c r="T13" s="4">
        <f>P13-0.9474</f>
        <v>0.37809999999999988</v>
      </c>
      <c r="U13" s="43">
        <f>Q13-0.9083</f>
        <v>0.48969999999999991</v>
      </c>
      <c r="V13" s="43">
        <f>(T13*60)/235</f>
        <v>9.653617021276592E-2</v>
      </c>
      <c r="W13" s="43">
        <f>(U13*60)/230</f>
        <v>0.12774782608695651</v>
      </c>
      <c r="X13" s="43">
        <f t="shared" si="2"/>
        <v>26.815602836879428</v>
      </c>
      <c r="Y13" s="43">
        <f t="shared" si="2"/>
        <v>35.485507246376812</v>
      </c>
      <c r="Z13" s="43">
        <f t="shared" si="3"/>
        <v>31.15055504162812</v>
      </c>
      <c r="AA13" s="33">
        <f>Z13/0.62</f>
        <v>50.242830712303423</v>
      </c>
      <c r="AC13" s="17" t="s">
        <v>155</v>
      </c>
      <c r="AD13" s="4">
        <v>1.3522000000000001</v>
      </c>
      <c r="AE13" s="4">
        <v>1.3476999999999999</v>
      </c>
      <c r="AF13" s="4" t="s">
        <v>41</v>
      </c>
      <c r="AG13" s="4" t="s">
        <v>42</v>
      </c>
      <c r="AH13" s="4">
        <f>AD13-0.9041</f>
        <v>0.44810000000000005</v>
      </c>
      <c r="AI13" s="43">
        <f>AE13-0.9106</f>
        <v>0.43709999999999993</v>
      </c>
      <c r="AJ13" s="43">
        <f>(AH13*60)/230</f>
        <v>0.11689565217391305</v>
      </c>
      <c r="AK13" s="43">
        <f>(AI13*60)/225</f>
        <v>0.11655999999999998</v>
      </c>
      <c r="AL13" s="43">
        <f t="shared" si="4"/>
        <v>32.471014492753632</v>
      </c>
      <c r="AM13" s="43">
        <f t="shared" si="4"/>
        <v>32.37777777777778</v>
      </c>
      <c r="AN13" s="43">
        <f t="shared" si="5"/>
        <v>32.42439613526571</v>
      </c>
      <c r="AO13" s="33">
        <f>AN13/0.6</f>
        <v>54.040660225442849</v>
      </c>
      <c r="AP13" s="42"/>
      <c r="AR13" s="17" t="s">
        <v>155</v>
      </c>
      <c r="AS13" s="28">
        <f t="shared" si="6"/>
        <v>53.998483551512301</v>
      </c>
      <c r="AT13" s="28">
        <f t="shared" si="7"/>
        <v>3.7347431203880577</v>
      </c>
      <c r="AU13" s="95"/>
      <c r="AV13" s="95"/>
    </row>
    <row r="14" spans="1:48" ht="16.899999999999999" customHeight="1" x14ac:dyDescent="0.25">
      <c r="A14" s="17" t="s">
        <v>156</v>
      </c>
      <c r="B14" s="4">
        <v>1.3673999999999999</v>
      </c>
      <c r="C14" s="4">
        <v>1.6536</v>
      </c>
      <c r="D14" s="4" t="s">
        <v>41</v>
      </c>
      <c r="E14" s="4" t="s">
        <v>41</v>
      </c>
      <c r="F14" s="4">
        <f>B14-1.0018</f>
        <v>0.36559999999999993</v>
      </c>
      <c r="G14" s="43">
        <f>C14-1.0064</f>
        <v>0.6472</v>
      </c>
      <c r="H14" s="43">
        <f>(F14*60)/230</f>
        <v>9.537391304347824E-2</v>
      </c>
      <c r="I14" s="43">
        <f>(G14*60)/230</f>
        <v>0.16883478260869567</v>
      </c>
      <c r="J14" s="43">
        <f t="shared" si="0"/>
        <v>26.492753623188399</v>
      </c>
      <c r="K14" s="43">
        <f t="shared" si="0"/>
        <v>46.898550724637687</v>
      </c>
      <c r="L14" s="43">
        <f t="shared" si="1"/>
        <v>36.695652173913047</v>
      </c>
      <c r="M14" s="33">
        <f>L14/0.62</f>
        <v>59.186535764375883</v>
      </c>
      <c r="O14" s="17" t="s">
        <v>156</v>
      </c>
      <c r="P14" s="4">
        <v>1.4206000000000001</v>
      </c>
      <c r="Q14" s="4">
        <v>1.4079999999999999</v>
      </c>
      <c r="R14" s="4" t="s">
        <v>40</v>
      </c>
      <c r="S14" s="4" t="s">
        <v>41</v>
      </c>
      <c r="T14" s="4">
        <f>P14-0.9253</f>
        <v>0.49530000000000007</v>
      </c>
      <c r="U14" s="43">
        <f>Q14-0.912</f>
        <v>0.49599999999999989</v>
      </c>
      <c r="V14" s="43">
        <f>(T14*60)/235</f>
        <v>0.12645957446808512</v>
      </c>
      <c r="W14" s="43">
        <f>(U14*60)/230</f>
        <v>0.12939130434782606</v>
      </c>
      <c r="X14" s="43">
        <f t="shared" si="2"/>
        <v>35.12765957446809</v>
      </c>
      <c r="Y14" s="43">
        <f t="shared" si="2"/>
        <v>35.942028985507243</v>
      </c>
      <c r="Z14" s="43">
        <f t="shared" si="3"/>
        <v>35.534844279987666</v>
      </c>
      <c r="AA14" s="33">
        <f>Z14/0.62</f>
        <v>57.314264967722046</v>
      </c>
      <c r="AC14" s="17" t="s">
        <v>156</v>
      </c>
      <c r="AD14" s="4">
        <v>1.3115000000000001</v>
      </c>
      <c r="AE14" s="4">
        <v>1.29</v>
      </c>
      <c r="AF14" s="4" t="s">
        <v>43</v>
      </c>
      <c r="AG14" s="4" t="s">
        <v>42</v>
      </c>
      <c r="AH14" s="4">
        <f>AD14-1.0196</f>
        <v>0.29190000000000005</v>
      </c>
      <c r="AI14" s="43">
        <f>AE14-0.879</f>
        <v>0.41100000000000003</v>
      </c>
      <c r="AJ14" s="43">
        <f>(AH14*60)/220</f>
        <v>7.9609090909090921E-2</v>
      </c>
      <c r="AK14" s="43">
        <f>(AI14*60)/225</f>
        <v>0.10960000000000002</v>
      </c>
      <c r="AL14" s="43">
        <f t="shared" si="4"/>
        <v>22.113636363636367</v>
      </c>
      <c r="AM14" s="43">
        <f t="shared" si="4"/>
        <v>30.44444444444445</v>
      </c>
      <c r="AN14" s="43">
        <f t="shared" si="5"/>
        <v>26.279040404040408</v>
      </c>
      <c r="AO14" s="33">
        <f>AN14/0.5</f>
        <v>52.558080808080817</v>
      </c>
      <c r="AP14" s="42"/>
      <c r="AR14" s="17" t="s">
        <v>156</v>
      </c>
      <c r="AS14" s="28">
        <f t="shared" si="6"/>
        <v>56.352960513392922</v>
      </c>
      <c r="AT14" s="28">
        <f t="shared" si="7"/>
        <v>3.4171894105160354</v>
      </c>
      <c r="AU14" s="95"/>
      <c r="AV14" s="95"/>
    </row>
    <row r="15" spans="1:48" ht="18.600000000000001" customHeight="1" x14ac:dyDescent="0.25">
      <c r="A15" s="17" t="s">
        <v>157</v>
      </c>
      <c r="B15" s="4">
        <v>1.5088999999999999</v>
      </c>
      <c r="C15" s="4">
        <v>1.5145999999999999</v>
      </c>
      <c r="D15" s="4" t="s">
        <v>42</v>
      </c>
      <c r="E15" s="4" t="s">
        <v>41</v>
      </c>
      <c r="F15" s="4">
        <f>B15-1.2244</f>
        <v>0.28449999999999998</v>
      </c>
      <c r="G15" s="43">
        <f>C15-1.071</f>
        <v>0.44359999999999999</v>
      </c>
      <c r="H15" s="43">
        <f>(F15*60)/225</f>
        <v>7.5866666666666666E-2</v>
      </c>
      <c r="I15" s="43">
        <f>(G15*60)/230</f>
        <v>0.11572173913043478</v>
      </c>
      <c r="J15" s="43">
        <f t="shared" si="0"/>
        <v>21.074074074074076</v>
      </c>
      <c r="K15" s="43">
        <f t="shared" si="0"/>
        <v>32.14492753623189</v>
      </c>
      <c r="L15" s="43">
        <f t="shared" si="1"/>
        <v>26.609500805152983</v>
      </c>
      <c r="M15" s="33">
        <f>L15/0.59</f>
        <v>45.100848822293194</v>
      </c>
      <c r="O15" s="17" t="s">
        <v>157</v>
      </c>
      <c r="P15" s="4">
        <v>1.3777999999999999</v>
      </c>
      <c r="Q15" s="4">
        <v>1.3343</v>
      </c>
      <c r="R15" s="4" t="s">
        <v>42</v>
      </c>
      <c r="S15" s="4" t="s">
        <v>42</v>
      </c>
      <c r="T15" s="4">
        <f>P15-1.083</f>
        <v>0.29479999999999995</v>
      </c>
      <c r="U15" s="43">
        <f>Q15-1.056</f>
        <v>0.27829999999999999</v>
      </c>
      <c r="V15" s="43">
        <f>(T15*60)/225</f>
        <v>7.8613333333333313E-2</v>
      </c>
      <c r="W15" s="43">
        <f>(U15*60)/225</f>
        <v>7.4213333333333339E-2</v>
      </c>
      <c r="X15" s="43">
        <f t="shared" si="2"/>
        <v>21.837037037037032</v>
      </c>
      <c r="Y15" s="43">
        <f t="shared" si="2"/>
        <v>20.614814814814821</v>
      </c>
      <c r="Z15" s="43">
        <f t="shared" si="3"/>
        <v>21.225925925925928</v>
      </c>
      <c r="AA15" s="33">
        <f>Z15/0.53</f>
        <v>40.048916841369675</v>
      </c>
      <c r="AC15" s="17" t="s">
        <v>157</v>
      </c>
      <c r="AD15" s="4">
        <v>1.4331</v>
      </c>
      <c r="AE15" s="4">
        <v>1.4843</v>
      </c>
      <c r="AF15" s="4" t="s">
        <v>42</v>
      </c>
      <c r="AG15" s="4" t="s">
        <v>42</v>
      </c>
      <c r="AH15" s="4">
        <f>AD15-1.2136</f>
        <v>0.21950000000000003</v>
      </c>
      <c r="AI15" s="43">
        <f>AE15-1.1944</f>
        <v>0.28990000000000005</v>
      </c>
      <c r="AJ15" s="43">
        <f>(AH15*60)/225</f>
        <v>5.853333333333334E-2</v>
      </c>
      <c r="AK15" s="43">
        <f>(AI15*60)/225</f>
        <v>7.7306666666666676E-2</v>
      </c>
      <c r="AL15" s="43">
        <f t="shared" si="4"/>
        <v>16.259259259259263</v>
      </c>
      <c r="AM15" s="43">
        <f t="shared" si="4"/>
        <v>21.474074074074075</v>
      </c>
      <c r="AN15" s="43">
        <f t="shared" si="5"/>
        <v>18.866666666666667</v>
      </c>
      <c r="AO15" s="33">
        <f>AN15/0.44</f>
        <v>42.878787878787882</v>
      </c>
      <c r="AP15" s="42"/>
      <c r="AR15" s="17" t="s">
        <v>157</v>
      </c>
      <c r="AS15" s="28">
        <f t="shared" si="6"/>
        <v>42.676184514150243</v>
      </c>
      <c r="AT15" s="28">
        <f t="shared" si="7"/>
        <v>2.5320525818970125</v>
      </c>
      <c r="AU15" s="95"/>
      <c r="AV15" s="95"/>
    </row>
    <row r="16" spans="1:48" ht="18" customHeight="1" x14ac:dyDescent="0.25">
      <c r="A16" s="17" t="s">
        <v>158</v>
      </c>
      <c r="B16" s="4">
        <v>1.3516999999999999</v>
      </c>
      <c r="C16" s="4">
        <v>1.3152999999999999</v>
      </c>
      <c r="D16" s="4" t="s">
        <v>42</v>
      </c>
      <c r="E16" s="4" t="s">
        <v>42</v>
      </c>
      <c r="F16" s="4">
        <f>B16-1.0697</f>
        <v>0.28199999999999981</v>
      </c>
      <c r="G16" s="43">
        <f>C16-1.0237</f>
        <v>0.29159999999999986</v>
      </c>
      <c r="H16" s="43">
        <f>(F16*60)/225</f>
        <v>7.5199999999999947E-2</v>
      </c>
      <c r="I16" s="43">
        <f>(G16*60)/225</f>
        <v>7.7759999999999968E-2</v>
      </c>
      <c r="J16" s="43">
        <f t="shared" si="0"/>
        <v>20.888888888888879</v>
      </c>
      <c r="K16" s="43">
        <f t="shared" si="0"/>
        <v>21.599999999999994</v>
      </c>
      <c r="L16" s="43">
        <f t="shared" si="1"/>
        <v>21.244444444444436</v>
      </c>
      <c r="M16" s="33">
        <f>L16/0.24</f>
        <v>88.518518518518491</v>
      </c>
      <c r="O16" s="17" t="s">
        <v>158</v>
      </c>
      <c r="P16" s="4">
        <v>1.5118</v>
      </c>
      <c r="Q16" s="4">
        <v>1.4782999999999999</v>
      </c>
      <c r="R16" s="4" t="s">
        <v>40</v>
      </c>
      <c r="S16" s="4" t="s">
        <v>41</v>
      </c>
      <c r="T16" s="4">
        <f>P16-1.1799</f>
        <v>0.33190000000000008</v>
      </c>
      <c r="U16" s="43">
        <f>Q16-1.1814</f>
        <v>0.29689999999999994</v>
      </c>
      <c r="V16" s="43">
        <f>(T16*60)/235</f>
        <v>8.4740425531914909E-2</v>
      </c>
      <c r="W16" s="43">
        <f>(U16*60)/230</f>
        <v>7.7452173913043459E-2</v>
      </c>
      <c r="X16" s="43">
        <f t="shared" si="2"/>
        <v>23.539007092198588</v>
      </c>
      <c r="Y16" s="43">
        <f t="shared" si="2"/>
        <v>21.514492753623188</v>
      </c>
      <c r="Z16" s="43">
        <f t="shared" si="3"/>
        <v>22.526749922910888</v>
      </c>
      <c r="AA16" s="33">
        <f>Z16/0.26</f>
        <v>86.641345857349563</v>
      </c>
      <c r="AC16" s="17" t="s">
        <v>158</v>
      </c>
      <c r="AD16" s="4">
        <v>1.2597</v>
      </c>
      <c r="AE16" s="4">
        <v>1.4975000000000001</v>
      </c>
      <c r="AF16" s="4" t="s">
        <v>42</v>
      </c>
      <c r="AG16" s="4" t="s">
        <v>41</v>
      </c>
      <c r="AH16" s="4">
        <f>AD16-1.13</f>
        <v>0.12970000000000015</v>
      </c>
      <c r="AI16" s="43">
        <f>AE16-1.0803</f>
        <v>0.41720000000000002</v>
      </c>
      <c r="AJ16" s="43">
        <f>(AH16*60)/225</f>
        <v>3.4586666666666703E-2</v>
      </c>
      <c r="AK16" s="43">
        <f>(AI16*60)/230</f>
        <v>0.10883478260869565</v>
      </c>
      <c r="AL16" s="43">
        <f t="shared" si="4"/>
        <v>9.6074074074074183</v>
      </c>
      <c r="AM16" s="43">
        <f t="shared" si="4"/>
        <v>30.231884057971019</v>
      </c>
      <c r="AN16" s="43">
        <f t="shared" si="5"/>
        <v>19.919645732689219</v>
      </c>
      <c r="AO16" s="33">
        <f>AN16/0.24</f>
        <v>82.998523886205078</v>
      </c>
      <c r="AP16" s="42"/>
      <c r="AR16" s="17" t="s">
        <v>158</v>
      </c>
      <c r="AS16" s="28">
        <f t="shared" si="6"/>
        <v>86.052796087357706</v>
      </c>
      <c r="AT16" s="28">
        <f t="shared" si="7"/>
        <v>2.806666761304291</v>
      </c>
      <c r="AU16" s="95"/>
      <c r="AV16" s="95"/>
    </row>
    <row r="17" spans="1:48" ht="20.45" customHeight="1" x14ac:dyDescent="0.25">
      <c r="A17" s="18" t="s">
        <v>294</v>
      </c>
      <c r="B17" s="4">
        <v>1.2779</v>
      </c>
      <c r="C17" s="4">
        <v>1.0492999999999999</v>
      </c>
      <c r="D17" s="4" t="s">
        <v>43</v>
      </c>
      <c r="E17" s="4" t="s">
        <v>40</v>
      </c>
      <c r="F17" s="4">
        <f>B17-0.8448</f>
        <v>0.43310000000000004</v>
      </c>
      <c r="G17" s="4">
        <f>C17-0.8832</f>
        <v>0.16609999999999991</v>
      </c>
      <c r="H17" s="43">
        <f>(F17*60)/220</f>
        <v>0.11811818181818183</v>
      </c>
      <c r="I17" s="43">
        <f>(G17*60)/235</f>
        <v>4.2408510638297849E-2</v>
      </c>
      <c r="J17" s="43">
        <f t="shared" si="0"/>
        <v>32.810606060606069</v>
      </c>
      <c r="K17" s="43">
        <f t="shared" si="0"/>
        <v>11.780141843971625</v>
      </c>
      <c r="L17" s="43">
        <f>AVERAGE(J17:K17)</f>
        <v>22.295373952288848</v>
      </c>
      <c r="M17" s="33">
        <f>L17/0.59</f>
        <v>37.788769410659064</v>
      </c>
      <c r="O17" s="18" t="s">
        <v>294</v>
      </c>
      <c r="P17" s="4">
        <v>1.2081999999999999</v>
      </c>
      <c r="Q17" s="4">
        <v>1.2421</v>
      </c>
      <c r="R17" s="4" t="s">
        <v>43</v>
      </c>
      <c r="S17" s="4" t="s">
        <v>43</v>
      </c>
      <c r="T17" s="4">
        <f>P17-0.915</f>
        <v>0.29319999999999991</v>
      </c>
      <c r="U17" s="4">
        <f>Q17-0.954</f>
        <v>0.28810000000000002</v>
      </c>
      <c r="V17" s="43">
        <f>(T17*60)/220</f>
        <v>7.9963636363636348E-2</v>
      </c>
      <c r="W17" s="43">
        <f>(U17*60)/220</f>
        <v>7.857272727272728E-2</v>
      </c>
      <c r="X17" s="43">
        <f t="shared" si="2"/>
        <v>22.212121212121207</v>
      </c>
      <c r="Y17" s="43">
        <f t="shared" si="2"/>
        <v>21.825757575757581</v>
      </c>
      <c r="Z17" s="43">
        <f t="shared" si="3"/>
        <v>22.018939393939394</v>
      </c>
      <c r="AA17" s="33">
        <f>Z17/0.56</f>
        <v>39.319534632034632</v>
      </c>
      <c r="AC17" s="18" t="s">
        <v>294</v>
      </c>
      <c r="AD17" s="4">
        <v>1.1599999999999999</v>
      </c>
      <c r="AE17" s="4">
        <v>1.37</v>
      </c>
      <c r="AF17" s="4" t="s">
        <v>41</v>
      </c>
      <c r="AG17" s="4" t="s">
        <v>41</v>
      </c>
      <c r="AH17" s="4">
        <f>AD17-1.009</f>
        <v>0.15100000000000002</v>
      </c>
      <c r="AI17" s="4">
        <f>AE17-1.007</f>
        <v>0.36300000000000021</v>
      </c>
      <c r="AJ17" s="43">
        <f>(AH17*60)/230</f>
        <v>3.9391304347826096E-2</v>
      </c>
      <c r="AK17" s="43">
        <f>(AI17*60)/230</f>
        <v>9.4695652173913097E-2</v>
      </c>
      <c r="AL17" s="43">
        <f t="shared" si="4"/>
        <v>10.94202898550725</v>
      </c>
      <c r="AM17" s="43">
        <f t="shared" si="4"/>
        <v>26.304347826086975</v>
      </c>
      <c r="AN17" s="43">
        <f t="shared" si="5"/>
        <v>18.623188405797112</v>
      </c>
      <c r="AO17" s="33">
        <f>AN17/0.49</f>
        <v>38.006506950606351</v>
      </c>
      <c r="AP17" s="42"/>
      <c r="AQ17" s="42"/>
      <c r="AR17" s="18" t="s">
        <v>294</v>
      </c>
      <c r="AS17" s="28">
        <f t="shared" si="6"/>
        <v>38.371603664433344</v>
      </c>
      <c r="AT17" s="28">
        <f t="shared" si="7"/>
        <v>0.82811970667211032</v>
      </c>
      <c r="AU17" s="95"/>
      <c r="AV17" s="95"/>
    </row>
    <row r="18" spans="1:48" ht="19.149999999999999" customHeight="1" x14ac:dyDescent="0.25">
      <c r="A18" s="15" t="s">
        <v>160</v>
      </c>
      <c r="B18" s="4">
        <v>1.3694999999999999</v>
      </c>
      <c r="C18" s="4">
        <v>1.1983999999999999</v>
      </c>
      <c r="D18" s="4" t="s">
        <v>41</v>
      </c>
      <c r="E18" s="4" t="s">
        <v>42</v>
      </c>
      <c r="F18" s="4">
        <f>B18-1.0241</f>
        <v>0.34539999999999993</v>
      </c>
      <c r="G18" s="4">
        <f>C18-0.8753</f>
        <v>0.32309999999999994</v>
      </c>
      <c r="H18" s="43">
        <f>(F18*60)/230</f>
        <v>9.0104347826086936E-2</v>
      </c>
      <c r="I18" s="43">
        <f>(G18*60)/215</f>
        <v>9.0167441860465103E-2</v>
      </c>
      <c r="J18" s="43">
        <f t="shared" si="0"/>
        <v>25.028985507246375</v>
      </c>
      <c r="K18" s="43">
        <f t="shared" si="0"/>
        <v>25.046511627906973</v>
      </c>
      <c r="L18" s="44">
        <f>AVERAGE(J18:K18)</f>
        <v>25.037748567576674</v>
      </c>
      <c r="M18" s="33">
        <f>L18/0.62</f>
        <v>40.383465431575281</v>
      </c>
      <c r="O18" s="15" t="s">
        <v>160</v>
      </c>
      <c r="P18" s="4">
        <v>1.2751999999999999</v>
      </c>
      <c r="Q18" s="4">
        <v>1.2529999999999999</v>
      </c>
      <c r="R18" s="4" t="s">
        <v>41</v>
      </c>
      <c r="S18" s="4" t="s">
        <v>41</v>
      </c>
      <c r="T18" s="4">
        <f>P18-0.9208</f>
        <v>0.35439999999999994</v>
      </c>
      <c r="U18" s="4">
        <f>Q18-0.9048</f>
        <v>0.34819999999999984</v>
      </c>
      <c r="V18" s="43">
        <f>(T18*60)/230</f>
        <v>9.2452173913043459E-2</v>
      </c>
      <c r="W18" s="43">
        <f>(U18*60)/230</f>
        <v>9.0834782608695597E-2</v>
      </c>
      <c r="X18" s="43">
        <f t="shared" si="2"/>
        <v>25.681159420289852</v>
      </c>
      <c r="Y18" s="43">
        <f t="shared" si="2"/>
        <v>25.231884057971001</v>
      </c>
      <c r="Z18" s="43">
        <f t="shared" si="3"/>
        <v>25.456521739130427</v>
      </c>
      <c r="AA18" s="33">
        <f>Z18/0.54</f>
        <v>47.141706924315599</v>
      </c>
      <c r="AC18" s="15" t="s">
        <v>160</v>
      </c>
      <c r="AD18" s="4">
        <v>1.1924999999999999</v>
      </c>
      <c r="AE18" s="4">
        <v>1.3986000000000001</v>
      </c>
      <c r="AF18" s="4" t="s">
        <v>40</v>
      </c>
      <c r="AG18" s="4" t="s">
        <v>40</v>
      </c>
      <c r="AH18" s="4">
        <f>AD18-0.994</f>
        <v>0.1984999999999999</v>
      </c>
      <c r="AI18" s="4">
        <f>AE18-1.081</f>
        <v>0.3176000000000001</v>
      </c>
      <c r="AJ18" s="43">
        <f>(AH18*60)/235</f>
        <v>5.068085106382976E-2</v>
      </c>
      <c r="AK18" s="43">
        <f>(AI18*60)/235</f>
        <v>8.1089361702127674E-2</v>
      </c>
      <c r="AL18" s="43">
        <f t="shared" si="4"/>
        <v>14.078014184397157</v>
      </c>
      <c r="AM18" s="43">
        <f t="shared" si="4"/>
        <v>22.524822695035468</v>
      </c>
      <c r="AN18" s="43">
        <f t="shared" si="5"/>
        <v>18.301418439716311</v>
      </c>
      <c r="AO18" s="33">
        <f>AN18/0.47</f>
        <v>38.939188169609174</v>
      </c>
      <c r="AP18" s="42"/>
      <c r="AR18" s="15" t="s">
        <v>160</v>
      </c>
      <c r="AS18" s="28">
        <f t="shared" si="6"/>
        <v>42.154786841833349</v>
      </c>
      <c r="AT18" s="28">
        <f t="shared" si="7"/>
        <v>4.3787570307287709</v>
      </c>
    </row>
    <row r="19" spans="1:48" ht="20.45" customHeight="1" x14ac:dyDescent="0.25">
      <c r="A19" s="15" t="s">
        <v>161</v>
      </c>
      <c r="B19" s="4">
        <v>1.2599</v>
      </c>
      <c r="C19" s="4">
        <v>1.2897000000000001</v>
      </c>
      <c r="D19" s="4" t="s">
        <v>43</v>
      </c>
      <c r="E19" s="4" t="s">
        <v>43</v>
      </c>
      <c r="F19" s="4">
        <f>B19-1.047</f>
        <v>0.21290000000000009</v>
      </c>
      <c r="G19" s="4">
        <f>C19-1.032</f>
        <v>0.25770000000000004</v>
      </c>
      <c r="H19" s="43">
        <f>(F19*60)/220</f>
        <v>5.8063636363636387E-2</v>
      </c>
      <c r="I19" s="43">
        <f>(G19*60)/220</f>
        <v>7.0281818181818195E-2</v>
      </c>
      <c r="J19" s="43">
        <f t="shared" si="0"/>
        <v>16.128787878787886</v>
      </c>
      <c r="K19" s="43">
        <f t="shared" si="0"/>
        <v>19.522727272727277</v>
      </c>
      <c r="L19" s="44">
        <f t="shared" ref="L19:L31" si="8">AVERAGE(J19:K19)</f>
        <v>17.825757575757581</v>
      </c>
      <c r="M19" s="33">
        <f>L19/0.47</f>
        <v>37.927143778207622</v>
      </c>
      <c r="O19" s="15" t="s">
        <v>161</v>
      </c>
      <c r="P19" s="4">
        <v>1.2237</v>
      </c>
      <c r="Q19" s="4">
        <v>1.224</v>
      </c>
      <c r="R19" s="4" t="s">
        <v>39</v>
      </c>
      <c r="S19" s="4" t="s">
        <v>40</v>
      </c>
      <c r="T19" s="4">
        <f>P19-0.916</f>
        <v>0.30769999999999997</v>
      </c>
      <c r="U19" s="4">
        <f>Q19-0.92</f>
        <v>0.30399999999999994</v>
      </c>
      <c r="V19" s="43">
        <f>(T19*60)/240</f>
        <v>7.6924999999999993E-2</v>
      </c>
      <c r="W19" s="43">
        <f>(U19*60)/235</f>
        <v>7.7617021276595727E-2</v>
      </c>
      <c r="X19" s="43">
        <f t="shared" si="2"/>
        <v>21.368055555555557</v>
      </c>
      <c r="Y19" s="43">
        <f t="shared" si="2"/>
        <v>21.560283687943258</v>
      </c>
      <c r="Z19" s="43">
        <f t="shared" si="3"/>
        <v>21.464169621749406</v>
      </c>
      <c r="AA19" s="33">
        <f>Z19/0.48</f>
        <v>44.717020045311266</v>
      </c>
      <c r="AC19" s="15" t="s">
        <v>161</v>
      </c>
      <c r="AD19" s="4">
        <v>1.3117000000000001</v>
      </c>
      <c r="AE19" s="4">
        <v>1.4345000000000001</v>
      </c>
      <c r="AF19" s="4" t="s">
        <v>40</v>
      </c>
      <c r="AG19" s="4" t="s">
        <v>40</v>
      </c>
      <c r="AH19" s="4">
        <f>AD19-1.0911</f>
        <v>0.22060000000000013</v>
      </c>
      <c r="AI19" s="4">
        <f>AE19-1.0556</f>
        <v>0.37890000000000001</v>
      </c>
      <c r="AJ19" s="43">
        <f>(AH19*60)/235</f>
        <v>5.6323404255319183E-2</v>
      </c>
      <c r="AK19" s="43">
        <f>(AI19*60)/235</f>
        <v>9.6740425531914906E-2</v>
      </c>
      <c r="AL19" s="43">
        <f t="shared" si="4"/>
        <v>15.645390070921996</v>
      </c>
      <c r="AM19" s="43">
        <f t="shared" si="4"/>
        <v>26.872340425531924</v>
      </c>
      <c r="AN19" s="43">
        <f t="shared" si="5"/>
        <v>21.258865248226961</v>
      </c>
      <c r="AO19" s="33">
        <f>AN19/0.48</f>
        <v>44.289302600472837</v>
      </c>
      <c r="AP19" s="42"/>
      <c r="AR19" s="15" t="s">
        <v>161</v>
      </c>
      <c r="AS19" s="28">
        <f t="shared" si="6"/>
        <v>42.311155474663913</v>
      </c>
      <c r="AT19" s="28">
        <f t="shared" si="7"/>
        <v>3.8026838508024725</v>
      </c>
    </row>
    <row r="20" spans="1:48" ht="21" customHeight="1" x14ac:dyDescent="0.25">
      <c r="A20" s="16" t="s">
        <v>162</v>
      </c>
      <c r="B20" s="4">
        <v>1.1442000000000001</v>
      </c>
      <c r="C20" s="4">
        <v>1.1312</v>
      </c>
      <c r="D20" s="4" t="s">
        <v>41</v>
      </c>
      <c r="E20" s="4" t="s">
        <v>41</v>
      </c>
      <c r="F20" s="4">
        <f>B20-0.8845</f>
        <v>0.25970000000000015</v>
      </c>
      <c r="G20" s="4">
        <f>C20-0.8734</f>
        <v>0.25780000000000003</v>
      </c>
      <c r="H20" s="43">
        <f>(F20*60)/230</f>
        <v>6.7747826086956564E-2</v>
      </c>
      <c r="I20" s="43">
        <f>(G20*60)/230</f>
        <v>6.7252173913043486E-2</v>
      </c>
      <c r="J20" s="43">
        <f t="shared" si="0"/>
        <v>18.818840579710159</v>
      </c>
      <c r="K20" s="43">
        <f t="shared" si="0"/>
        <v>18.681159420289859</v>
      </c>
      <c r="L20" s="44">
        <f t="shared" si="8"/>
        <v>18.750000000000007</v>
      </c>
      <c r="M20" s="33">
        <f>L20/0.43</f>
        <v>43.604651162790717</v>
      </c>
      <c r="O20" s="16" t="s">
        <v>162</v>
      </c>
      <c r="P20" s="4">
        <v>1.3628</v>
      </c>
      <c r="Q20" s="4">
        <v>1.3540000000000001</v>
      </c>
      <c r="R20" s="4" t="s">
        <v>39</v>
      </c>
      <c r="S20" s="4" t="s">
        <v>41</v>
      </c>
      <c r="T20" s="4">
        <f>P20-1.04</f>
        <v>0.32279999999999998</v>
      </c>
      <c r="U20" s="49">
        <f>Q20-1.015</f>
        <v>0.33900000000000019</v>
      </c>
      <c r="V20" s="43">
        <f>(T20*60)/240</f>
        <v>8.0699999999999994E-2</v>
      </c>
      <c r="W20" s="43">
        <f>(U20*60)/230</f>
        <v>8.8434782608695695E-2</v>
      </c>
      <c r="X20" s="43">
        <f t="shared" si="2"/>
        <v>22.416666666666668</v>
      </c>
      <c r="Y20" s="43">
        <f t="shared" si="2"/>
        <v>24.565217391304365</v>
      </c>
      <c r="Z20" s="43">
        <f t="shared" si="3"/>
        <v>23.490942028985515</v>
      </c>
      <c r="AA20" s="33">
        <f>Z20/0.47</f>
        <v>49.980727721245778</v>
      </c>
      <c r="AC20" s="16" t="s">
        <v>162</v>
      </c>
      <c r="AD20" s="4">
        <v>1.2056</v>
      </c>
      <c r="AE20" s="4">
        <v>1.3720000000000001</v>
      </c>
      <c r="AF20" s="4" t="s">
        <v>40</v>
      </c>
      <c r="AG20" s="4" t="s">
        <v>41</v>
      </c>
      <c r="AH20" s="4">
        <f>AD20-1.04804</f>
        <v>0.15755999999999992</v>
      </c>
      <c r="AI20" s="49">
        <f>AE20-1.09784</f>
        <v>0.27416000000000018</v>
      </c>
      <c r="AJ20" s="43">
        <f>(AH20*60)/235</f>
        <v>4.0228085106382955E-2</v>
      </c>
      <c r="AK20" s="43">
        <f>(AI20*60)/230</f>
        <v>7.1520000000000042E-2</v>
      </c>
      <c r="AL20" s="43">
        <f t="shared" si="4"/>
        <v>11.174468085106376</v>
      </c>
      <c r="AM20" s="43">
        <f t="shared" si="4"/>
        <v>19.866666666666678</v>
      </c>
      <c r="AN20" s="43">
        <f t="shared" si="5"/>
        <v>15.520567375886527</v>
      </c>
      <c r="AO20" s="33">
        <f>AN20/0.35</f>
        <v>44.344478216818651</v>
      </c>
      <c r="AP20" s="42"/>
      <c r="AR20" s="16" t="s">
        <v>162</v>
      </c>
      <c r="AS20" s="28">
        <f t="shared" si="6"/>
        <v>45.976619033618384</v>
      </c>
      <c r="AT20" s="28">
        <f t="shared" si="7"/>
        <v>3.487334340756246</v>
      </c>
    </row>
    <row r="21" spans="1:48" ht="16.899999999999999" customHeight="1" x14ac:dyDescent="0.25">
      <c r="A21" s="16" t="s">
        <v>163</v>
      </c>
      <c r="B21" s="4">
        <v>1.2727999999999999</v>
      </c>
      <c r="C21" s="4">
        <v>1.2650999999999999</v>
      </c>
      <c r="D21" s="4" t="s">
        <v>39</v>
      </c>
      <c r="E21" s="4" t="s">
        <v>39</v>
      </c>
      <c r="F21" s="4">
        <f>B21-0.9877</f>
        <v>0.28509999999999991</v>
      </c>
      <c r="G21" s="4">
        <f>C21-0.9793</f>
        <v>0.28579999999999994</v>
      </c>
      <c r="H21" s="43">
        <f>(F21*60)/240</f>
        <v>7.1274999999999977E-2</v>
      </c>
      <c r="I21" s="43">
        <f>(G21*60)/240</f>
        <v>7.1449999999999986E-2</v>
      </c>
      <c r="J21" s="43">
        <f t="shared" si="0"/>
        <v>19.798611111111107</v>
      </c>
      <c r="K21" s="43">
        <f t="shared" si="0"/>
        <v>19.847222222222221</v>
      </c>
      <c r="L21" s="44">
        <f t="shared" si="8"/>
        <v>19.822916666666664</v>
      </c>
      <c r="M21" s="33">
        <f>L21/0.38</f>
        <v>52.165570175438589</v>
      </c>
      <c r="O21" s="16" t="s">
        <v>163</v>
      </c>
      <c r="P21" s="4">
        <v>1.2298</v>
      </c>
      <c r="Q21" s="4">
        <v>1.2121</v>
      </c>
      <c r="R21" s="4" t="s">
        <v>39</v>
      </c>
      <c r="S21" s="4" t="s">
        <v>39</v>
      </c>
      <c r="T21" s="4">
        <f>P21-0.9453</f>
        <v>0.28449999999999998</v>
      </c>
      <c r="U21" s="4">
        <f>Q21-0.8566</f>
        <v>0.35549999999999993</v>
      </c>
      <c r="V21" s="43">
        <f>(T21*60)/240</f>
        <v>7.1125000000000008E-2</v>
      </c>
      <c r="W21" s="43">
        <f>(U21*60)/240</f>
        <v>8.8874999999999982E-2</v>
      </c>
      <c r="X21" s="43">
        <f t="shared" si="2"/>
        <v>19.75694444444445</v>
      </c>
      <c r="Y21" s="43">
        <f t="shared" si="2"/>
        <v>24.687499999999996</v>
      </c>
      <c r="Z21" s="43">
        <f t="shared" si="3"/>
        <v>22.222222222222221</v>
      </c>
      <c r="AA21" s="33">
        <f>Z21/0.42</f>
        <v>52.910052910052912</v>
      </c>
      <c r="AC21" s="16" t="s">
        <v>163</v>
      </c>
      <c r="AD21" s="4">
        <v>1.1908000000000001</v>
      </c>
      <c r="AE21" s="4">
        <v>1.349</v>
      </c>
      <c r="AF21" s="4" t="s">
        <v>41</v>
      </c>
      <c r="AG21" s="4" t="s">
        <v>41</v>
      </c>
      <c r="AH21" s="4">
        <f>AD21-1.03995</f>
        <v>0.15085000000000015</v>
      </c>
      <c r="AI21" s="4">
        <f>AE21-1.03324</f>
        <v>0.31576000000000004</v>
      </c>
      <c r="AJ21" s="43">
        <f>(AH21*60)/230</f>
        <v>3.935217391304352E-2</v>
      </c>
      <c r="AK21" s="43">
        <f>(AI21*60)/230</f>
        <v>8.2372173913043495E-2</v>
      </c>
      <c r="AL21" s="43">
        <f t="shared" si="4"/>
        <v>10.931159420289866</v>
      </c>
      <c r="AM21" s="43">
        <f t="shared" si="4"/>
        <v>22.881159420289862</v>
      </c>
      <c r="AN21" s="43">
        <f t="shared" si="5"/>
        <v>16.906159420289864</v>
      </c>
      <c r="AO21" s="33">
        <f>AN21/0.34</f>
        <v>49.723998294970187</v>
      </c>
      <c r="AP21" s="42"/>
      <c r="AR21" s="16" t="s">
        <v>163</v>
      </c>
      <c r="AS21" s="28">
        <f t="shared" si="6"/>
        <v>51.599873793487234</v>
      </c>
      <c r="AT21" s="28">
        <f t="shared" si="7"/>
        <v>1.6666569233009911</v>
      </c>
    </row>
    <row r="22" spans="1:48" ht="19.149999999999999" customHeight="1" x14ac:dyDescent="0.25">
      <c r="A22" s="17" t="s">
        <v>164</v>
      </c>
      <c r="B22" s="4">
        <v>1.3291999999999999</v>
      </c>
      <c r="C22" s="4">
        <v>1.2983</v>
      </c>
      <c r="D22" s="4" t="s">
        <v>40</v>
      </c>
      <c r="E22" s="4" t="s">
        <v>40</v>
      </c>
      <c r="F22" s="4">
        <f>B22-0.965</f>
        <v>0.36419999999999997</v>
      </c>
      <c r="G22" s="4">
        <f>C22-0.922</f>
        <v>0.37629999999999997</v>
      </c>
      <c r="H22" s="43">
        <f>(F22*60)/235</f>
        <v>9.2987234042553171E-2</v>
      </c>
      <c r="I22" s="43">
        <f>(G22*60)/235</f>
        <v>9.6076595744680846E-2</v>
      </c>
      <c r="J22" s="43">
        <f t="shared" si="0"/>
        <v>25.829787234042549</v>
      </c>
      <c r="K22" s="43">
        <f t="shared" si="0"/>
        <v>26.687943262411345</v>
      </c>
      <c r="L22" s="44">
        <f t="shared" si="8"/>
        <v>26.258865248226947</v>
      </c>
      <c r="M22" s="33">
        <f>L22/0.58</f>
        <v>45.273905600391288</v>
      </c>
      <c r="O22" s="17" t="s">
        <v>164</v>
      </c>
      <c r="P22" s="4">
        <v>1.4355</v>
      </c>
      <c r="Q22" s="4">
        <v>1.4354</v>
      </c>
      <c r="R22" s="4" t="s">
        <v>43</v>
      </c>
      <c r="S22" s="4" t="s">
        <v>42</v>
      </c>
      <c r="T22" s="4">
        <f>P22-1.093</f>
        <v>0.34250000000000003</v>
      </c>
      <c r="U22" s="4">
        <f>Q22-1.087</f>
        <v>0.34840000000000004</v>
      </c>
      <c r="V22" s="43">
        <f>(T22*60)/220</f>
        <v>9.3409090909090914E-2</v>
      </c>
      <c r="W22" s="43">
        <f>(U22*60)/225</f>
        <v>9.2906666666666679E-2</v>
      </c>
      <c r="X22" s="43">
        <f t="shared" si="2"/>
        <v>25.946969696969703</v>
      </c>
      <c r="Y22" s="43">
        <f t="shared" si="2"/>
        <v>25.80740740740741</v>
      </c>
      <c r="Z22" s="43">
        <f t="shared" si="3"/>
        <v>25.877188552188557</v>
      </c>
      <c r="AA22" s="33">
        <f>Z22/0.56</f>
        <v>46.209265271765275</v>
      </c>
      <c r="AC22" s="17" t="s">
        <v>164</v>
      </c>
      <c r="AD22" s="4">
        <v>1.2854000000000001</v>
      </c>
      <c r="AE22" s="4">
        <v>1.3894</v>
      </c>
      <c r="AF22" s="4" t="s">
        <v>40</v>
      </c>
      <c r="AG22" s="4" t="s">
        <v>40</v>
      </c>
      <c r="AH22" s="4">
        <f>AD22-0.9764</f>
        <v>0.30900000000000005</v>
      </c>
      <c r="AI22" s="4">
        <f>AE22-1.01923</f>
        <v>0.37016999999999989</v>
      </c>
      <c r="AJ22" s="43">
        <f>(AH22*60)/235</f>
        <v>7.8893617021276605E-2</v>
      </c>
      <c r="AK22" s="43">
        <f>(AI22*60)/235</f>
        <v>9.4511489361702103E-2</v>
      </c>
      <c r="AL22" s="43">
        <f t="shared" si="4"/>
        <v>21.914893617021281</v>
      </c>
      <c r="AM22" s="43">
        <f t="shared" si="4"/>
        <v>26.253191489361697</v>
      </c>
      <c r="AN22" s="43">
        <f t="shared" si="5"/>
        <v>24.084042553191487</v>
      </c>
      <c r="AO22" s="33">
        <f>AN22/0.49</f>
        <v>49.151107251411197</v>
      </c>
      <c r="AP22" s="42"/>
      <c r="AR22" s="17" t="s">
        <v>164</v>
      </c>
      <c r="AS22" s="28">
        <f t="shared" si="6"/>
        <v>46.87809270785592</v>
      </c>
      <c r="AT22" s="28">
        <f t="shared" si="7"/>
        <v>2.0232821763457927</v>
      </c>
    </row>
    <row r="23" spans="1:48" ht="18.600000000000001" customHeight="1" x14ac:dyDescent="0.25">
      <c r="A23" s="17" t="s">
        <v>165</v>
      </c>
      <c r="B23" s="4">
        <v>1.2085999999999999</v>
      </c>
      <c r="C23" s="4">
        <v>1.2032</v>
      </c>
      <c r="D23" s="4" t="s">
        <v>43</v>
      </c>
      <c r="E23" s="4" t="s">
        <v>43</v>
      </c>
      <c r="F23" s="4">
        <f>B23-1.1036</f>
        <v>0.10499999999999998</v>
      </c>
      <c r="G23" s="4">
        <f>C23-1.097</f>
        <v>0.10620000000000007</v>
      </c>
      <c r="H23" s="43">
        <f>(F23*60)/220</f>
        <v>2.863636363636363E-2</v>
      </c>
      <c r="I23" s="43">
        <f>(G23*60)/220</f>
        <v>2.8963636363636382E-2</v>
      </c>
      <c r="J23" s="43">
        <f t="shared" si="0"/>
        <v>7.9545454545454533</v>
      </c>
      <c r="K23" s="43">
        <f t="shared" si="0"/>
        <v>8.0454545454545503</v>
      </c>
      <c r="L23" s="44">
        <f t="shared" si="8"/>
        <v>8.0000000000000018</v>
      </c>
      <c r="M23" s="33">
        <f>L23/0.15</f>
        <v>53.33333333333335</v>
      </c>
      <c r="O23" s="17" t="s">
        <v>165</v>
      </c>
      <c r="P23" s="4">
        <v>1.31253</v>
      </c>
      <c r="Q23" s="4">
        <v>1.2658</v>
      </c>
      <c r="R23" s="4" t="s">
        <v>42</v>
      </c>
      <c r="S23" s="4" t="s">
        <v>42</v>
      </c>
      <c r="T23" s="4">
        <f>P23-1.2286</f>
        <v>8.393000000000006E-2</v>
      </c>
      <c r="U23" s="4">
        <f>Q23-1.0134</f>
        <v>0.25239999999999996</v>
      </c>
      <c r="V23" s="43">
        <f>(T23*60)/225</f>
        <v>2.238133333333335E-2</v>
      </c>
      <c r="W23" s="43">
        <f>(U23*60)/225</f>
        <v>6.7306666666666654E-2</v>
      </c>
      <c r="X23" s="43">
        <f t="shared" si="2"/>
        <v>6.2170370370370422</v>
      </c>
      <c r="Y23" s="43">
        <f t="shared" si="2"/>
        <v>18.696296296296293</v>
      </c>
      <c r="Z23" s="43">
        <f t="shared" si="3"/>
        <v>12.456666666666667</v>
      </c>
      <c r="AA23" s="33">
        <f>Z23/0.22</f>
        <v>56.621212121212125</v>
      </c>
      <c r="AC23" s="17" t="s">
        <v>165</v>
      </c>
      <c r="AD23" s="4">
        <v>1.28149</v>
      </c>
      <c r="AE23" s="4">
        <v>1.2848999999999999</v>
      </c>
      <c r="AF23" s="4" t="s">
        <v>42</v>
      </c>
      <c r="AG23" s="4" t="s">
        <v>41</v>
      </c>
      <c r="AH23" s="4">
        <f>AD23-1.156</f>
        <v>0.1254900000000001</v>
      </c>
      <c r="AI23" s="4">
        <f>AE23-1.158</f>
        <v>0.12690000000000001</v>
      </c>
      <c r="AJ23" s="43">
        <f>(AH23*60)/225</f>
        <v>3.3464000000000028E-2</v>
      </c>
      <c r="AK23" s="43">
        <f>(AI23*60)/230</f>
        <v>3.3104347826086962E-2</v>
      </c>
      <c r="AL23" s="43">
        <f t="shared" si="4"/>
        <v>9.2955555555555645</v>
      </c>
      <c r="AM23" s="43">
        <f t="shared" si="4"/>
        <v>9.1956521739130466</v>
      </c>
      <c r="AN23" s="43">
        <f t="shared" si="5"/>
        <v>9.2456038647343064</v>
      </c>
      <c r="AO23" s="33">
        <f>AN23/0.19</f>
        <v>48.661072972285822</v>
      </c>
      <c r="AP23" s="42"/>
      <c r="AR23" s="17" t="s">
        <v>165</v>
      </c>
      <c r="AS23" s="28">
        <f t="shared" si="6"/>
        <v>52.87187280894377</v>
      </c>
      <c r="AT23" s="28">
        <f t="shared" si="7"/>
        <v>4.0000828965466102</v>
      </c>
    </row>
    <row r="24" spans="1:48" ht="18.600000000000001" customHeight="1" x14ac:dyDescent="0.25">
      <c r="A24" s="16" t="s">
        <v>166</v>
      </c>
      <c r="B24" s="4">
        <v>1.2205999999999999</v>
      </c>
      <c r="C24" s="4">
        <v>1.0194000000000001</v>
      </c>
      <c r="D24" s="4" t="s">
        <v>44</v>
      </c>
      <c r="E24" s="4" t="s">
        <v>44</v>
      </c>
      <c r="F24" s="4">
        <f>B24-0.9144</f>
        <v>0.30619999999999992</v>
      </c>
      <c r="G24" s="4">
        <f>C24-0.9123</f>
        <v>0.10710000000000008</v>
      </c>
      <c r="H24" s="43">
        <f>(F24*60)/215</f>
        <v>8.5451162790697657E-2</v>
      </c>
      <c r="I24" s="43">
        <f>(G24*60)/215</f>
        <v>2.988837209302328E-2</v>
      </c>
      <c r="J24" s="43">
        <f t="shared" si="0"/>
        <v>23.736434108527128</v>
      </c>
      <c r="K24" s="43">
        <f t="shared" si="0"/>
        <v>8.3023255813953565</v>
      </c>
      <c r="L24" s="44">
        <f t="shared" si="8"/>
        <v>16.019379844961243</v>
      </c>
      <c r="M24" s="33">
        <f>L24/0.31</f>
        <v>51.675418854713691</v>
      </c>
      <c r="O24" s="16" t="s">
        <v>166</v>
      </c>
      <c r="P24" s="4">
        <v>1.2770999999999999</v>
      </c>
      <c r="Q24" s="4">
        <v>1.2270000000000001</v>
      </c>
      <c r="R24" s="4" t="s">
        <v>40</v>
      </c>
      <c r="S24" s="4" t="s">
        <v>41</v>
      </c>
      <c r="T24" s="4">
        <f>P24-0.9401</f>
        <v>0.33699999999999986</v>
      </c>
      <c r="U24" s="4">
        <f>Q24-0.9543</f>
        <v>0.27270000000000005</v>
      </c>
      <c r="V24" s="43">
        <f>(T24*60)/235</f>
        <v>8.6042553191489332E-2</v>
      </c>
      <c r="W24" s="43">
        <f>(U24*60)/230</f>
        <v>7.1139130434782621E-2</v>
      </c>
      <c r="X24" s="43">
        <f t="shared" si="2"/>
        <v>23.90070921985815</v>
      </c>
      <c r="Y24" s="43">
        <f t="shared" si="2"/>
        <v>19.760869565217398</v>
      </c>
      <c r="Z24" s="43">
        <f t="shared" si="3"/>
        <v>21.830789392537774</v>
      </c>
      <c r="AA24" s="33">
        <f>Z24/0.37</f>
        <v>59.002133493345333</v>
      </c>
      <c r="AC24" s="16" t="s">
        <v>166</v>
      </c>
      <c r="AD24" s="4">
        <v>1.2736000000000001</v>
      </c>
      <c r="AE24" s="4">
        <v>1.3895999999999999</v>
      </c>
      <c r="AF24" s="4" t="s">
        <v>41</v>
      </c>
      <c r="AG24" s="4" t="s">
        <v>42</v>
      </c>
      <c r="AH24" s="4">
        <f>AD24-1.09798</f>
        <v>0.17562000000000011</v>
      </c>
      <c r="AI24" s="4">
        <f>AE24-1.06895</f>
        <v>0.32064999999999988</v>
      </c>
      <c r="AJ24" s="43">
        <f>(AH24*60)/230</f>
        <v>4.5813913043478288E-2</v>
      </c>
      <c r="AK24" s="43">
        <f>(AI24*60)/225</f>
        <v>8.5506666666666634E-2</v>
      </c>
      <c r="AL24" s="43">
        <f t="shared" si="4"/>
        <v>12.726086956521748</v>
      </c>
      <c r="AM24" s="43">
        <f t="shared" si="4"/>
        <v>23.751851851851846</v>
      </c>
      <c r="AN24" s="43">
        <f t="shared" si="5"/>
        <v>18.238969404186797</v>
      </c>
      <c r="AO24" s="33">
        <f>AN24/0.34</f>
        <v>53.644027659372931</v>
      </c>
      <c r="AP24" s="42"/>
      <c r="AR24" s="16" t="s">
        <v>166</v>
      </c>
      <c r="AS24" s="28">
        <f t="shared" si="6"/>
        <v>54.773860002477313</v>
      </c>
      <c r="AT24" s="28">
        <f t="shared" si="7"/>
        <v>3.7917776426932472</v>
      </c>
    </row>
    <row r="25" spans="1:48" ht="18" customHeight="1" x14ac:dyDescent="0.25">
      <c r="A25" s="16" t="s">
        <v>167</v>
      </c>
      <c r="B25" s="4">
        <v>1.2862</v>
      </c>
      <c r="C25" s="4">
        <v>1.165</v>
      </c>
      <c r="D25" s="4" t="s">
        <v>41</v>
      </c>
      <c r="E25" s="4" t="s">
        <v>41</v>
      </c>
      <c r="F25" s="4">
        <f>B25-0.9827</f>
        <v>0.30349999999999999</v>
      </c>
      <c r="G25" s="4">
        <f>C25-0.8634</f>
        <v>0.30160000000000009</v>
      </c>
      <c r="H25" s="43">
        <f>(F25*60)/230</f>
        <v>7.9173913043478261E-2</v>
      </c>
      <c r="I25" s="43">
        <f>(G25*60)/230</f>
        <v>7.8678260869565239E-2</v>
      </c>
      <c r="J25" s="43">
        <f t="shared" si="0"/>
        <v>21.992753623188406</v>
      </c>
      <c r="K25" s="43">
        <f t="shared" si="0"/>
        <v>21.855072463768121</v>
      </c>
      <c r="L25" s="44">
        <f t="shared" si="8"/>
        <v>21.923913043478265</v>
      </c>
      <c r="M25" s="33">
        <f>L25/0.37</f>
        <v>59.253819036427743</v>
      </c>
      <c r="O25" s="16" t="s">
        <v>167</v>
      </c>
      <c r="P25" s="4">
        <v>1.2537</v>
      </c>
      <c r="Q25" s="4">
        <v>1.2350000000000001</v>
      </c>
      <c r="R25" s="4" t="s">
        <v>40</v>
      </c>
      <c r="S25" s="4" t="s">
        <v>41</v>
      </c>
      <c r="T25" s="4">
        <f>P25-0.8952</f>
        <v>0.35850000000000004</v>
      </c>
      <c r="U25" s="4">
        <f>Q25-0.9281</f>
        <v>0.30690000000000006</v>
      </c>
      <c r="V25" s="43">
        <f>(T25*60)/235</f>
        <v>9.1531914893617033E-2</v>
      </c>
      <c r="W25" s="43">
        <f>(U25*60)/230</f>
        <v>8.0060869565217407E-2</v>
      </c>
      <c r="X25" s="43">
        <f t="shared" si="2"/>
        <v>25.425531914893625</v>
      </c>
      <c r="Y25" s="43">
        <f t="shared" si="2"/>
        <v>22.239130434782616</v>
      </c>
      <c r="Z25" s="43">
        <f t="shared" si="3"/>
        <v>23.832331174838121</v>
      </c>
      <c r="AA25" s="33">
        <f>Z25/0.4</f>
        <v>59.5808279370953</v>
      </c>
      <c r="AC25" s="16" t="s">
        <v>167</v>
      </c>
      <c r="AD25" s="4">
        <v>1.3568</v>
      </c>
      <c r="AE25" s="4">
        <v>1.3652</v>
      </c>
      <c r="AF25" s="4" t="s">
        <v>40</v>
      </c>
      <c r="AG25" s="4" t="s">
        <v>40</v>
      </c>
      <c r="AH25" s="4">
        <f>AD25-1.09956</f>
        <v>0.25723999999999991</v>
      </c>
      <c r="AI25" s="4">
        <f>AE25-1.09867</f>
        <v>0.26652999999999993</v>
      </c>
      <c r="AJ25" s="43">
        <f>(AH25*60)/235</f>
        <v>6.5678297872340405E-2</v>
      </c>
      <c r="AK25" s="43">
        <f>(AI25*60)/235</f>
        <v>6.8050212765957435E-2</v>
      </c>
      <c r="AL25" s="43">
        <f t="shared" si="4"/>
        <v>18.243971631205667</v>
      </c>
      <c r="AM25" s="43">
        <f t="shared" si="4"/>
        <v>18.902836879432623</v>
      </c>
      <c r="AN25" s="43">
        <f t="shared" si="5"/>
        <v>18.573404255319147</v>
      </c>
      <c r="AO25" s="33">
        <f>AN25/0.31</f>
        <v>59.914207275223056</v>
      </c>
      <c r="AP25" s="42"/>
      <c r="AR25" s="16" t="s">
        <v>167</v>
      </c>
      <c r="AS25" s="28">
        <f t="shared" si="6"/>
        <v>59.582951416248704</v>
      </c>
      <c r="AT25" s="28">
        <f t="shared" si="7"/>
        <v>0.33019924039521986</v>
      </c>
    </row>
    <row r="26" spans="1:48" ht="16.899999999999999" customHeight="1" x14ac:dyDescent="0.25">
      <c r="A26" s="16" t="s">
        <v>168</v>
      </c>
      <c r="B26" s="4">
        <v>1.1006</v>
      </c>
      <c r="C26" s="4">
        <v>1.256</v>
      </c>
      <c r="D26" s="4" t="s">
        <v>45</v>
      </c>
      <c r="E26" s="4" t="s">
        <v>45</v>
      </c>
      <c r="F26" s="4">
        <f>B26-0.8907</f>
        <v>0.20989999999999998</v>
      </c>
      <c r="G26" s="4">
        <f>C26-0.8907</f>
        <v>0.36529999999999996</v>
      </c>
      <c r="H26" s="43">
        <f>(F26*60)/215</f>
        <v>5.8576744186046498E-2</v>
      </c>
      <c r="I26" s="43">
        <f>(G26*60)/215</f>
        <v>0.10194418604651162</v>
      </c>
      <c r="J26" s="43">
        <f t="shared" si="0"/>
        <v>16.271317829457359</v>
      </c>
      <c r="K26" s="43">
        <f t="shared" si="0"/>
        <v>28.31782945736434</v>
      </c>
      <c r="L26" s="44">
        <f t="shared" si="8"/>
        <v>22.29457364341085</v>
      </c>
      <c r="M26" s="33">
        <f>L26/0.44</f>
        <v>50.669485553206478</v>
      </c>
      <c r="O26" s="16" t="s">
        <v>168</v>
      </c>
      <c r="P26" s="4">
        <v>1.3028999999999999</v>
      </c>
      <c r="Q26" s="4">
        <v>1.1941999999999999</v>
      </c>
      <c r="R26" s="4" t="s">
        <v>41</v>
      </c>
      <c r="S26" s="4" t="s">
        <v>40</v>
      </c>
      <c r="T26" s="4">
        <f>P26-0.8477</f>
        <v>0.45519999999999994</v>
      </c>
      <c r="U26" s="4">
        <f>Q26-0.9421</f>
        <v>0.25209999999999988</v>
      </c>
      <c r="V26" s="43">
        <f>(T26*60)/230</f>
        <v>0.11874782608695651</v>
      </c>
      <c r="W26" s="43">
        <f>(U26*60)/235</f>
        <v>6.4365957446808481E-2</v>
      </c>
      <c r="X26" s="43">
        <f t="shared" si="2"/>
        <v>32.985507246376812</v>
      </c>
      <c r="Y26" s="43">
        <f t="shared" si="2"/>
        <v>17.879432624113466</v>
      </c>
      <c r="Z26" s="43">
        <f t="shared" si="3"/>
        <v>25.432469935245138</v>
      </c>
      <c r="AA26" s="33">
        <f>Z26/0.47</f>
        <v>54.111638160096042</v>
      </c>
      <c r="AC26" s="16" t="s">
        <v>168</v>
      </c>
      <c r="AD26" s="4">
        <v>1.2649999999999999</v>
      </c>
      <c r="AE26" s="4">
        <v>1.3965000000000001</v>
      </c>
      <c r="AF26" s="4" t="s">
        <v>41</v>
      </c>
      <c r="AG26" s="4" t="s">
        <v>40</v>
      </c>
      <c r="AH26" s="4">
        <f>AD26-0.9053</f>
        <v>0.35969999999999991</v>
      </c>
      <c r="AI26" s="4">
        <f>AE26-1.05253</f>
        <v>0.34397000000000011</v>
      </c>
      <c r="AJ26" s="43">
        <f>(AH26*60)/230</f>
        <v>9.3834782608695627E-2</v>
      </c>
      <c r="AK26" s="43">
        <f>(AI26*60)/235</f>
        <v>8.7822127659574492E-2</v>
      </c>
      <c r="AL26" s="43">
        <f t="shared" si="4"/>
        <v>26.065217391304344</v>
      </c>
      <c r="AM26" s="43">
        <f t="shared" si="4"/>
        <v>24.395035460992919</v>
      </c>
      <c r="AN26" s="43">
        <f t="shared" si="5"/>
        <v>25.23012642614863</v>
      </c>
      <c r="AO26" s="33">
        <f>AN26/0.44</f>
        <v>57.341196423065064</v>
      </c>
      <c r="AP26" s="42"/>
      <c r="AR26" s="16" t="s">
        <v>168</v>
      </c>
      <c r="AS26" s="28">
        <f t="shared" si="6"/>
        <v>54.040773378789197</v>
      </c>
      <c r="AT26" s="28">
        <f t="shared" si="7"/>
        <v>3.3364199144696332</v>
      </c>
    </row>
    <row r="27" spans="1:48" ht="15.6" customHeight="1" x14ac:dyDescent="0.25">
      <c r="A27" s="16" t="s">
        <v>169</v>
      </c>
      <c r="B27" s="4">
        <v>1.2213000000000001</v>
      </c>
      <c r="C27" s="4">
        <v>1.079</v>
      </c>
      <c r="D27" s="4" t="s">
        <v>39</v>
      </c>
      <c r="E27" s="4" t="s">
        <v>39</v>
      </c>
      <c r="F27" s="4">
        <f>B27-0.895</f>
        <v>0.32630000000000003</v>
      </c>
      <c r="G27" s="4">
        <f>C27-0.895</f>
        <v>0.18399999999999994</v>
      </c>
      <c r="H27" s="43">
        <f>(F27*60)/240</f>
        <v>8.1575000000000009E-2</v>
      </c>
      <c r="I27" s="43">
        <f>(G27*60)/240</f>
        <v>4.5999999999999978E-2</v>
      </c>
      <c r="J27" s="43">
        <f t="shared" si="0"/>
        <v>22.659722222222225</v>
      </c>
      <c r="K27" s="43">
        <f t="shared" si="0"/>
        <v>12.777777777777771</v>
      </c>
      <c r="L27" s="44">
        <f t="shared" si="8"/>
        <v>17.71875</v>
      </c>
      <c r="M27" s="33">
        <f>L27/0.32</f>
        <v>55.37109375</v>
      </c>
      <c r="O27" s="16" t="s">
        <v>169</v>
      </c>
      <c r="P27" s="4">
        <v>1.2758</v>
      </c>
      <c r="Q27" s="4">
        <v>1.2075</v>
      </c>
      <c r="R27" s="4" t="s">
        <v>41</v>
      </c>
      <c r="S27" s="4" t="s">
        <v>39</v>
      </c>
      <c r="T27" s="4">
        <f>P27-0.9373</f>
        <v>0.33850000000000002</v>
      </c>
      <c r="U27" s="4">
        <f>Q27-0.9787</f>
        <v>0.2288</v>
      </c>
      <c r="V27" s="43">
        <f>(T27*60)/230</f>
        <v>8.8304347826086968E-2</v>
      </c>
      <c r="W27" s="43">
        <f>(U27*60)/240</f>
        <v>5.7200000000000001E-2</v>
      </c>
      <c r="X27" s="43">
        <f t="shared" si="2"/>
        <v>24.528985507246382</v>
      </c>
      <c r="Y27" s="43">
        <f t="shared" si="2"/>
        <v>15.888888888888889</v>
      </c>
      <c r="Z27" s="43">
        <f t="shared" si="3"/>
        <v>20.208937198067638</v>
      </c>
      <c r="AA27" s="33">
        <f>Z27/0.38</f>
        <v>53.181413679125363</v>
      </c>
      <c r="AC27" s="16" t="s">
        <v>169</v>
      </c>
      <c r="AD27" s="4">
        <v>1.1055299999999999</v>
      </c>
      <c r="AE27" s="4">
        <v>1.1034999999999999</v>
      </c>
      <c r="AF27" s="4" t="s">
        <v>42</v>
      </c>
      <c r="AG27" s="4" t="s">
        <v>42</v>
      </c>
      <c r="AH27" s="4">
        <f>AD27-0.8748</f>
        <v>0.23072999999999988</v>
      </c>
      <c r="AI27" s="4">
        <f>AE27-0.8754</f>
        <v>0.22809999999999997</v>
      </c>
      <c r="AJ27" s="43">
        <f>(AH27*60)/225</f>
        <v>6.1527999999999965E-2</v>
      </c>
      <c r="AK27" s="43">
        <f>(AI27*60)/225</f>
        <v>6.0826666666666661E-2</v>
      </c>
      <c r="AL27" s="43">
        <f t="shared" si="4"/>
        <v>17.091111111111104</v>
      </c>
      <c r="AM27" s="43">
        <f t="shared" si="4"/>
        <v>16.896296296296295</v>
      </c>
      <c r="AN27" s="43">
        <f t="shared" si="5"/>
        <v>16.993703703703702</v>
      </c>
      <c r="AO27" s="33">
        <f>AN27/0.3</f>
        <v>56.645679012345674</v>
      </c>
      <c r="AP27" s="42"/>
      <c r="AR27" s="16" t="s">
        <v>169</v>
      </c>
      <c r="AS27" s="28">
        <f t="shared" si="6"/>
        <v>55.066062147157005</v>
      </c>
      <c r="AT27" s="28">
        <f t="shared" si="7"/>
        <v>1.7521606044503253</v>
      </c>
    </row>
    <row r="28" spans="1:48" ht="17.45" customHeight="1" x14ac:dyDescent="0.25">
      <c r="A28" s="17" t="s">
        <v>170</v>
      </c>
      <c r="B28" s="4">
        <v>1.4441999999999999</v>
      </c>
      <c r="C28" s="4">
        <v>1.4621</v>
      </c>
      <c r="D28" s="4" t="s">
        <v>39</v>
      </c>
      <c r="E28" s="4" t="s">
        <v>39</v>
      </c>
      <c r="F28" s="4">
        <f>B28-1.1038</f>
        <v>0.34040000000000004</v>
      </c>
      <c r="G28" s="4">
        <f>C28-1.1011</f>
        <v>0.36099999999999999</v>
      </c>
      <c r="H28" s="43">
        <f>(F28*60)/240</f>
        <v>8.5100000000000009E-2</v>
      </c>
      <c r="I28" s="43">
        <f>(G28*60)/240</f>
        <v>9.0249999999999997E-2</v>
      </c>
      <c r="J28" s="43">
        <f t="shared" si="0"/>
        <v>23.638888888888893</v>
      </c>
      <c r="K28" s="43">
        <f t="shared" si="0"/>
        <v>25.069444444444446</v>
      </c>
      <c r="L28" s="44">
        <f t="shared" si="8"/>
        <v>24.354166666666671</v>
      </c>
      <c r="M28" s="33">
        <f>L28/0.48</f>
        <v>50.737847222222236</v>
      </c>
      <c r="O28" s="17" t="s">
        <v>170</v>
      </c>
      <c r="P28" s="4">
        <v>1.4256</v>
      </c>
      <c r="Q28" s="4">
        <v>1.4763999999999999</v>
      </c>
      <c r="R28" s="4" t="s">
        <v>39</v>
      </c>
      <c r="S28" s="4" t="s">
        <v>39</v>
      </c>
      <c r="T28" s="4">
        <f>P28-1.0054</f>
        <v>0.42019999999999991</v>
      </c>
      <c r="U28" s="4">
        <f>Q28-1.023</f>
        <v>0.45340000000000003</v>
      </c>
      <c r="V28" s="43">
        <f>(T28*60)/240</f>
        <v>0.10504999999999999</v>
      </c>
      <c r="W28" s="43">
        <f>(U28*60)/240</f>
        <v>0.11335000000000001</v>
      </c>
      <c r="X28" s="43">
        <f t="shared" si="2"/>
        <v>29.180555555555557</v>
      </c>
      <c r="Y28" s="43">
        <f t="shared" si="2"/>
        <v>31.486111111111118</v>
      </c>
      <c r="Z28" s="43">
        <f t="shared" si="3"/>
        <v>30.333333333333336</v>
      </c>
      <c r="AA28" s="33">
        <f>Z28/0.51</f>
        <v>59.477124183006538</v>
      </c>
      <c r="AC28" s="17" t="s">
        <v>170</v>
      </c>
      <c r="AD28" s="4">
        <v>1.3842000000000001</v>
      </c>
      <c r="AE28" s="4">
        <v>1.3954</v>
      </c>
      <c r="AF28" s="4" t="s">
        <v>39</v>
      </c>
      <c r="AG28" s="4" t="s">
        <v>39</v>
      </c>
      <c r="AH28" s="4">
        <f>AD28-1.0348</f>
        <v>0.34940000000000015</v>
      </c>
      <c r="AI28" s="4">
        <f>AE28-1.014</f>
        <v>0.38139999999999996</v>
      </c>
      <c r="AJ28" s="43">
        <f>(AH28*60)/240</f>
        <v>8.7350000000000039E-2</v>
      </c>
      <c r="AK28" s="43">
        <f>(AI28*60)/240</f>
        <v>9.534999999999999E-2</v>
      </c>
      <c r="AL28" s="43">
        <f t="shared" si="4"/>
        <v>24.263888888888903</v>
      </c>
      <c r="AM28" s="43">
        <f t="shared" si="4"/>
        <v>26.486111111111114</v>
      </c>
      <c r="AN28" s="43">
        <f t="shared" si="5"/>
        <v>25.375000000000007</v>
      </c>
      <c r="AO28" s="33">
        <f>AN28/0.46</f>
        <v>55.163043478260882</v>
      </c>
      <c r="AP28" s="42"/>
      <c r="AR28" s="17" t="s">
        <v>170</v>
      </c>
      <c r="AS28" s="28">
        <f t="shared" si="6"/>
        <v>55.126004961163211</v>
      </c>
      <c r="AT28" s="28">
        <f t="shared" si="7"/>
        <v>4.3697562103778083</v>
      </c>
    </row>
    <row r="29" spans="1:48" ht="16.899999999999999" customHeight="1" x14ac:dyDescent="0.25">
      <c r="A29" s="17" t="s">
        <v>171</v>
      </c>
      <c r="B29" s="4">
        <v>1.2743</v>
      </c>
      <c r="C29" s="4">
        <v>1.2726999999999999</v>
      </c>
      <c r="D29" s="4" t="s">
        <v>41</v>
      </c>
      <c r="E29" s="4" t="s">
        <v>41</v>
      </c>
      <c r="F29" s="4">
        <f>B29-0.98</f>
        <v>0.29430000000000001</v>
      </c>
      <c r="G29" s="4">
        <f>C29-0.92</f>
        <v>0.3526999999999999</v>
      </c>
      <c r="H29" s="43">
        <f>(F29*60)/230</f>
        <v>7.6773913043478262E-2</v>
      </c>
      <c r="I29" s="43">
        <f>(G29*60)/230</f>
        <v>9.20086956521739E-2</v>
      </c>
      <c r="J29" s="43">
        <f t="shared" si="0"/>
        <v>21.326086956521738</v>
      </c>
      <c r="K29" s="43">
        <f t="shared" si="0"/>
        <v>25.557971014492754</v>
      </c>
      <c r="L29" s="44">
        <f t="shared" si="8"/>
        <v>23.442028985507246</v>
      </c>
      <c r="M29" s="33">
        <f>L29/0.35</f>
        <v>66.97722567287785</v>
      </c>
      <c r="O29" s="17" t="s">
        <v>171</v>
      </c>
      <c r="P29" s="4">
        <v>1.3537999999999999</v>
      </c>
      <c r="Q29" s="4">
        <v>1.3315999999999999</v>
      </c>
      <c r="R29" s="4" t="s">
        <v>42</v>
      </c>
      <c r="S29" s="4" t="s">
        <v>41</v>
      </c>
      <c r="T29" s="4">
        <f>P29-1.0084</f>
        <v>0.34539999999999993</v>
      </c>
      <c r="U29" s="4">
        <f>Q29-1.134</f>
        <v>0.1976</v>
      </c>
      <c r="V29" s="43">
        <f>(T29*60)/225</f>
        <v>9.2106666666666656E-2</v>
      </c>
      <c r="W29" s="43">
        <f>(U29*60)/230</f>
        <v>5.1547826086956523E-2</v>
      </c>
      <c r="X29" s="43">
        <f t="shared" si="2"/>
        <v>25.585185185185185</v>
      </c>
      <c r="Y29" s="43">
        <f t="shared" si="2"/>
        <v>14.318840579710146</v>
      </c>
      <c r="Z29" s="43">
        <f t="shared" si="3"/>
        <v>19.952012882447665</v>
      </c>
      <c r="AA29" s="33">
        <f>Z29/0.34</f>
        <v>58.682390830728423</v>
      </c>
      <c r="AC29" s="17" t="s">
        <v>171</v>
      </c>
      <c r="AD29" s="4">
        <v>1.385</v>
      </c>
      <c r="AE29" s="4">
        <v>1.3963099999999999</v>
      </c>
      <c r="AF29" s="4" t="s">
        <v>42</v>
      </c>
      <c r="AG29" s="4" t="s">
        <v>42</v>
      </c>
      <c r="AH29" s="4">
        <f>AD29-1.0194</f>
        <v>0.36559999999999993</v>
      </c>
      <c r="AI29" s="4">
        <f>AE29-1</f>
        <v>0.39630999999999994</v>
      </c>
      <c r="AJ29" s="43">
        <f>(AH29*60)/225</f>
        <v>9.7493333333333321E-2</v>
      </c>
      <c r="AK29" s="43">
        <f>(AI29*60)/225</f>
        <v>0.10568266666666666</v>
      </c>
      <c r="AL29" s="43">
        <f t="shared" si="4"/>
        <v>27.081481481481479</v>
      </c>
      <c r="AM29" s="43">
        <f t="shared" si="4"/>
        <v>29.3562962962963</v>
      </c>
      <c r="AN29" s="43">
        <f t="shared" si="5"/>
        <v>28.218888888888891</v>
      </c>
      <c r="AO29" s="33">
        <f>AN29/0.44</f>
        <v>64.133838383838395</v>
      </c>
      <c r="AP29" s="42"/>
      <c r="AR29" s="17" t="s">
        <v>171</v>
      </c>
      <c r="AS29" s="28">
        <f t="shared" si="6"/>
        <v>63.264484962481561</v>
      </c>
      <c r="AT29" s="28">
        <f t="shared" si="7"/>
        <v>4.2151990217607356</v>
      </c>
    </row>
    <row r="30" spans="1:48" ht="16.149999999999999" customHeight="1" x14ac:dyDescent="0.25">
      <c r="A30" s="17" t="s">
        <v>172</v>
      </c>
      <c r="B30" s="4">
        <v>1.1736</v>
      </c>
      <c r="C30" s="4">
        <v>1.0866</v>
      </c>
      <c r="D30" s="4" t="s">
        <v>39</v>
      </c>
      <c r="E30" s="4" t="s">
        <v>39</v>
      </c>
      <c r="F30" s="4">
        <f>B30-0.9907</f>
        <v>0.18289999999999995</v>
      </c>
      <c r="G30" s="4">
        <f>C30-0.9907</f>
        <v>9.5899999999999985E-2</v>
      </c>
      <c r="H30" s="43">
        <f>(F30*60)/240</f>
        <v>4.5724999999999988E-2</v>
      </c>
      <c r="I30" s="43">
        <f>(G30*60)/240</f>
        <v>2.3975E-2</v>
      </c>
      <c r="J30" s="43">
        <f t="shared" si="0"/>
        <v>12.701388888888888</v>
      </c>
      <c r="K30" s="43">
        <f t="shared" si="0"/>
        <v>6.6597222222222232</v>
      </c>
      <c r="L30" s="44">
        <f t="shared" si="8"/>
        <v>9.6805555555555554</v>
      </c>
      <c r="M30" s="33">
        <f>L30/0.14</f>
        <v>69.146825396825392</v>
      </c>
      <c r="O30" s="17" t="s">
        <v>172</v>
      </c>
      <c r="P30" s="4">
        <v>1.2968999999999999</v>
      </c>
      <c r="Q30" s="4">
        <v>1.2795000000000001</v>
      </c>
      <c r="R30" s="4" t="s">
        <v>41</v>
      </c>
      <c r="S30" s="4" t="s">
        <v>42</v>
      </c>
      <c r="T30" s="4">
        <f>P30-1.1546</f>
        <v>0.14229999999999987</v>
      </c>
      <c r="U30" s="4">
        <f>Q30-1.1344</f>
        <v>0.14510000000000001</v>
      </c>
      <c r="V30" s="43">
        <f>(T30*60)/230</f>
        <v>3.7121739130434754E-2</v>
      </c>
      <c r="W30" s="43">
        <f>(U30*60)/225</f>
        <v>3.869333333333333E-2</v>
      </c>
      <c r="X30" s="43">
        <f t="shared" si="2"/>
        <v>10.311594202898544</v>
      </c>
      <c r="Y30" s="43">
        <f t="shared" si="2"/>
        <v>10.748148148148148</v>
      </c>
      <c r="Z30" s="43">
        <f t="shared" si="3"/>
        <v>10.529871175523347</v>
      </c>
      <c r="AA30" s="33">
        <f>Z30/0.14</f>
        <v>75.213365539452468</v>
      </c>
      <c r="AC30" s="17" t="s">
        <v>172</v>
      </c>
      <c r="AD30" s="4">
        <v>1.2254</v>
      </c>
      <c r="AE30" s="4">
        <v>1.212</v>
      </c>
      <c r="AF30" s="4" t="s">
        <v>39</v>
      </c>
      <c r="AG30" s="4" t="s">
        <v>40</v>
      </c>
      <c r="AH30" s="4">
        <f>AD30-1.0642</f>
        <v>0.16120000000000001</v>
      </c>
      <c r="AI30" s="4">
        <f>AE30-1.0321</f>
        <v>0.17989999999999995</v>
      </c>
      <c r="AJ30" s="43">
        <f>(AH30*60)/240</f>
        <v>4.0300000000000002E-2</v>
      </c>
      <c r="AK30" s="43">
        <f>(AI30*60)/235</f>
        <v>4.5931914893617011E-2</v>
      </c>
      <c r="AL30" s="43">
        <f t="shared" si="4"/>
        <v>11.194444444444446</v>
      </c>
      <c r="AM30" s="43">
        <f t="shared" si="4"/>
        <v>12.75886524822695</v>
      </c>
      <c r="AN30" s="43">
        <f t="shared" si="5"/>
        <v>11.976654846335698</v>
      </c>
      <c r="AO30" s="33">
        <f>AN30/0.17</f>
        <v>70.450910860798217</v>
      </c>
      <c r="AP30" s="42"/>
      <c r="AR30" s="17" t="s">
        <v>172</v>
      </c>
      <c r="AS30" s="28">
        <f t="shared" si="6"/>
        <v>71.603700599025359</v>
      </c>
      <c r="AT30" s="28">
        <f t="shared" si="7"/>
        <v>3.1933400164949219</v>
      </c>
    </row>
    <row r="31" spans="1:48" ht="18.600000000000001" customHeight="1" x14ac:dyDescent="0.25">
      <c r="A31" s="17" t="s">
        <v>173</v>
      </c>
      <c r="B31" s="4">
        <v>1.1919999999999999</v>
      </c>
      <c r="C31" s="4">
        <v>1.1920999999999999</v>
      </c>
      <c r="D31" s="4" t="s">
        <v>41</v>
      </c>
      <c r="E31" s="4" t="s">
        <v>41</v>
      </c>
      <c r="F31" s="4">
        <f>B31-0.9954</f>
        <v>0.1966</v>
      </c>
      <c r="G31" s="4">
        <f>C31-0.985</f>
        <v>0.20709999999999995</v>
      </c>
      <c r="H31" s="43">
        <f>(F31*60)/230</f>
        <v>5.1286956521739126E-2</v>
      </c>
      <c r="I31" s="43">
        <f>(G31*60)/230</f>
        <v>5.4026086956521724E-2</v>
      </c>
      <c r="J31" s="43">
        <f t="shared" si="0"/>
        <v>14.246376811594203</v>
      </c>
      <c r="K31" s="43">
        <f t="shared" si="0"/>
        <v>15.007246376811592</v>
      </c>
      <c r="L31" s="44">
        <f t="shared" si="8"/>
        <v>14.626811594202898</v>
      </c>
      <c r="M31" s="33">
        <f>L31/0.18</f>
        <v>81.260064412238322</v>
      </c>
      <c r="O31" s="17" t="s">
        <v>173</v>
      </c>
      <c r="P31" s="4">
        <v>1.3935999999999999</v>
      </c>
      <c r="Q31" s="4">
        <v>1.343</v>
      </c>
      <c r="R31" s="4" t="s">
        <v>42</v>
      </c>
      <c r="S31" s="4" t="s">
        <v>43</v>
      </c>
      <c r="T31" s="4">
        <f>P31-1.2763</f>
        <v>0.11729999999999996</v>
      </c>
      <c r="U31" s="4">
        <f>Q31-1.234</f>
        <v>0.10899999999999999</v>
      </c>
      <c r="V31" s="43">
        <f>(T31*60)/225</f>
        <v>3.1279999999999988E-2</v>
      </c>
      <c r="W31" s="43">
        <f>(U31*60)/220</f>
        <v>2.9727272727272724E-2</v>
      </c>
      <c r="X31" s="43">
        <f t="shared" si="2"/>
        <v>8.6888888888888864</v>
      </c>
      <c r="Y31" s="43">
        <f t="shared" si="2"/>
        <v>8.2575757575757578</v>
      </c>
      <c r="Z31" s="43">
        <f t="shared" si="3"/>
        <v>8.4732323232323221</v>
      </c>
      <c r="AA31" s="33">
        <f>Z31/0.11</f>
        <v>77.029384756657478</v>
      </c>
      <c r="AC31" s="17" t="s">
        <v>173</v>
      </c>
      <c r="AD31" s="4">
        <v>1.252</v>
      </c>
      <c r="AE31" s="4">
        <v>1.214</v>
      </c>
      <c r="AF31" s="4" t="s">
        <v>42</v>
      </c>
      <c r="AG31" s="4" t="s">
        <v>41</v>
      </c>
      <c r="AH31" s="4">
        <f>AD31-1.13</f>
        <v>0.12200000000000011</v>
      </c>
      <c r="AI31" s="4">
        <f>AE31-1.09</f>
        <v>0.12399999999999989</v>
      </c>
      <c r="AJ31" s="43">
        <f>(AH31*60)/225</f>
        <v>3.2533333333333365E-2</v>
      </c>
      <c r="AK31" s="43">
        <f>(AI31*60)/230</f>
        <v>3.2347826086956494E-2</v>
      </c>
      <c r="AL31" s="43">
        <f t="shared" si="4"/>
        <v>9.037037037037047</v>
      </c>
      <c r="AM31" s="43">
        <f t="shared" si="4"/>
        <v>8.9855072463768053</v>
      </c>
      <c r="AN31" s="43">
        <f t="shared" si="5"/>
        <v>9.0112721417069253</v>
      </c>
      <c r="AO31" s="33">
        <f>AN31/0.11</f>
        <v>81.920655833699314</v>
      </c>
      <c r="AP31" s="42"/>
      <c r="AR31" s="17" t="s">
        <v>173</v>
      </c>
      <c r="AS31" s="28">
        <f t="shared" si="6"/>
        <v>80.070035000865047</v>
      </c>
      <c r="AT31" s="28">
        <f t="shared" si="7"/>
        <v>2.6539142200204178</v>
      </c>
    </row>
    <row r="32" spans="1:48" x14ac:dyDescent="0.25">
      <c r="AM32" s="4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EC7E4-A6CC-4583-B6EC-CE54E08F5674}">
  <dimension ref="A1:V31"/>
  <sheetViews>
    <sheetView zoomScale="62" workbookViewId="0">
      <selection activeCell="U1" sqref="U1"/>
    </sheetView>
  </sheetViews>
  <sheetFormatPr defaultColWidth="8.85546875" defaultRowHeight="15" x14ac:dyDescent="0.25"/>
  <cols>
    <col min="1" max="1" width="36.5703125" style="32" customWidth="1"/>
    <col min="2" max="5" width="8.85546875" style="32"/>
    <col min="6" max="6" width="11.5703125" style="32" customWidth="1"/>
    <col min="7" max="7" width="37.42578125" style="32" customWidth="1"/>
    <col min="8" max="11" width="8.85546875" style="32"/>
    <col min="12" max="12" width="11.5703125" style="32" customWidth="1"/>
    <col min="13" max="13" width="39.7109375" style="32" customWidth="1"/>
    <col min="14" max="17" width="8.85546875" style="32"/>
    <col min="18" max="18" width="12.7109375" style="32" customWidth="1"/>
    <col min="19" max="19" width="8.85546875" style="32"/>
    <col min="20" max="20" width="39" style="32" customWidth="1"/>
    <col min="21" max="16384" width="8.85546875" style="32"/>
  </cols>
  <sheetData>
    <row r="1" spans="1:22" x14ac:dyDescent="0.25">
      <c r="A1" s="48"/>
      <c r="B1" s="4" t="s">
        <v>46</v>
      </c>
      <c r="C1" s="4" t="s">
        <v>331</v>
      </c>
      <c r="D1" s="4"/>
      <c r="E1" s="4"/>
      <c r="F1" s="4" t="s">
        <v>332</v>
      </c>
      <c r="G1" s="48"/>
      <c r="H1" s="27" t="s">
        <v>46</v>
      </c>
      <c r="I1" s="27" t="s">
        <v>331</v>
      </c>
      <c r="J1" s="27"/>
      <c r="K1" s="27"/>
      <c r="L1" s="27" t="s">
        <v>332</v>
      </c>
      <c r="M1" s="48"/>
      <c r="N1" s="27" t="s">
        <v>46</v>
      </c>
      <c r="O1" s="27" t="s">
        <v>331</v>
      </c>
      <c r="P1" s="27"/>
      <c r="Q1" s="27"/>
      <c r="R1" s="27" t="s">
        <v>332</v>
      </c>
      <c r="T1" s="48"/>
      <c r="U1" s="4" t="s">
        <v>333</v>
      </c>
      <c r="V1" s="27" t="s">
        <v>95</v>
      </c>
    </row>
    <row r="2" spans="1:22" x14ac:dyDescent="0.25">
      <c r="A2" s="18" t="s">
        <v>293</v>
      </c>
      <c r="B2" s="27">
        <v>0.82299999999999995</v>
      </c>
      <c r="C2" s="27">
        <v>0.879</v>
      </c>
      <c r="D2" s="27">
        <f>(($C$2-B2)/$C$2)*100</f>
        <v>6.3708759954493797</v>
      </c>
      <c r="E2" s="27">
        <f>D2/50</f>
        <v>0.12741751990898759</v>
      </c>
      <c r="F2" s="28">
        <f>E2/0.84</f>
        <v>0.15168752370117569</v>
      </c>
      <c r="G2" s="18" t="s">
        <v>293</v>
      </c>
      <c r="H2" s="27">
        <v>0.8115</v>
      </c>
      <c r="I2" s="27">
        <v>0.875</v>
      </c>
      <c r="J2" s="28">
        <f>(($I$2-H2)/$I$2)*100</f>
        <v>7.257142857142858</v>
      </c>
      <c r="K2" s="28">
        <f>J2/50</f>
        <v>0.14514285714285716</v>
      </c>
      <c r="L2" s="28">
        <f>K2/0.87</f>
        <v>0.16683087027914617</v>
      </c>
      <c r="M2" s="18" t="s">
        <v>293</v>
      </c>
      <c r="N2" s="27">
        <v>0.878</v>
      </c>
      <c r="O2" s="27">
        <v>0.94699999999999995</v>
      </c>
      <c r="P2" s="28">
        <f>(($O$2-N2)/$O$2)*100</f>
        <v>7.2861668426610295</v>
      </c>
      <c r="Q2" s="28">
        <f>P2/50</f>
        <v>0.14572333685322059</v>
      </c>
      <c r="R2" s="28">
        <f>Q2/0.87</f>
        <v>0.16749808833703517</v>
      </c>
      <c r="T2" s="18" t="s">
        <v>293</v>
      </c>
      <c r="U2" s="28">
        <f>AVERAGE(F2,L2,R2)</f>
        <v>0.16200549410578569</v>
      </c>
      <c r="V2" s="28">
        <f>STDEV(F2,L2,R2)</f>
        <v>8.9418499169354737E-3</v>
      </c>
    </row>
    <row r="3" spans="1:22" x14ac:dyDescent="0.25">
      <c r="A3" s="15" t="s">
        <v>147</v>
      </c>
      <c r="B3" s="27">
        <v>0.82</v>
      </c>
      <c r="C3" s="27"/>
      <c r="D3" s="27">
        <f t="shared" ref="D3:D16" si="0">(($C$2-B3)/$C$2)*100</f>
        <v>6.7121729237770253</v>
      </c>
      <c r="E3" s="27">
        <f t="shared" ref="E3:E16" si="1">D3/50</f>
        <v>0.13424345847554051</v>
      </c>
      <c r="F3" s="28">
        <f>E3/0.67</f>
        <v>0.20036337085901568</v>
      </c>
      <c r="G3" s="15" t="s">
        <v>147</v>
      </c>
      <c r="H3" s="27">
        <v>0.80500000000000005</v>
      </c>
      <c r="I3" s="27"/>
      <c r="J3" s="28">
        <f t="shared" ref="J3:J16" si="2">(($I$2-H3)/$I$2)*100</f>
        <v>7.9999999999999947</v>
      </c>
      <c r="K3" s="28">
        <f t="shared" ref="K3:K16" si="3">J3/50</f>
        <v>0.15999999999999989</v>
      </c>
      <c r="L3" s="28">
        <f>K3/0.74</f>
        <v>0.21621621621621606</v>
      </c>
      <c r="M3" s="15" t="s">
        <v>147</v>
      </c>
      <c r="N3" s="27">
        <v>0.86399999999999999</v>
      </c>
      <c r="O3" s="27"/>
      <c r="P3" s="28">
        <f t="shared" ref="P3:P16" si="4">(($O$2-N3)/$O$2)*100</f>
        <v>8.7645195353748644</v>
      </c>
      <c r="Q3" s="28">
        <f t="shared" ref="Q3:Q16" si="5">P3/50</f>
        <v>0.1752903907074973</v>
      </c>
      <c r="R3" s="28">
        <f>Q3/0.68</f>
        <v>0.25777998633455484</v>
      </c>
      <c r="T3" s="15" t="s">
        <v>147</v>
      </c>
      <c r="U3" s="28">
        <f t="shared" ref="U3:U31" si="6">AVERAGE(F3,L3,R3)</f>
        <v>0.22478652446992886</v>
      </c>
      <c r="V3" s="28">
        <f t="shared" ref="V3:V31" si="7">STDEV(F3,L3,R3)</f>
        <v>2.9652227080596037E-2</v>
      </c>
    </row>
    <row r="4" spans="1:22" x14ac:dyDescent="0.25">
      <c r="A4" s="15" t="s">
        <v>148</v>
      </c>
      <c r="B4" s="27">
        <v>0.76900000000000002</v>
      </c>
      <c r="C4" s="27"/>
      <c r="D4" s="27">
        <f t="shared" si="0"/>
        <v>12.514220705346984</v>
      </c>
      <c r="E4" s="27">
        <f t="shared" si="1"/>
        <v>0.25028441410693969</v>
      </c>
      <c r="F4" s="28">
        <f>E4/0.83</f>
        <v>0.30154748687583094</v>
      </c>
      <c r="G4" s="15" t="s">
        <v>148</v>
      </c>
      <c r="H4" s="27">
        <v>0.80200000000000005</v>
      </c>
      <c r="I4" s="27"/>
      <c r="J4" s="28">
        <f t="shared" si="2"/>
        <v>8.3428571428571381</v>
      </c>
      <c r="K4" s="28">
        <f t="shared" si="3"/>
        <v>0.16685714285714276</v>
      </c>
      <c r="L4" s="28">
        <f>K4/0.52</f>
        <v>0.32087912087912068</v>
      </c>
      <c r="M4" s="15" t="s">
        <v>148</v>
      </c>
      <c r="N4" s="27">
        <v>0.85699999999999998</v>
      </c>
      <c r="O4" s="27"/>
      <c r="P4" s="28">
        <f t="shared" si="4"/>
        <v>9.5036958817317814</v>
      </c>
      <c r="Q4" s="28">
        <f t="shared" si="5"/>
        <v>0.19007391763463563</v>
      </c>
      <c r="R4" s="28">
        <f>Q4/0.5</f>
        <v>0.38014783526927126</v>
      </c>
      <c r="T4" s="15" t="s">
        <v>148</v>
      </c>
      <c r="U4" s="28">
        <f t="shared" si="6"/>
        <v>0.33419148100807433</v>
      </c>
      <c r="V4" s="28">
        <f t="shared" si="7"/>
        <v>4.0956292447495352E-2</v>
      </c>
    </row>
    <row r="5" spans="1:22" x14ac:dyDescent="0.25">
      <c r="A5" s="16" t="s">
        <v>29</v>
      </c>
      <c r="B5" s="27">
        <v>0.69499999999999995</v>
      </c>
      <c r="C5" s="27"/>
      <c r="D5" s="27">
        <f t="shared" si="0"/>
        <v>20.932878270762238</v>
      </c>
      <c r="E5" s="27">
        <f t="shared" si="1"/>
        <v>0.41865756541524474</v>
      </c>
      <c r="F5" s="28">
        <f>E5/0.79</f>
        <v>0.52994628533575283</v>
      </c>
      <c r="G5" s="16" t="s">
        <v>29</v>
      </c>
      <c r="H5" s="27">
        <v>0.72099999999999997</v>
      </c>
      <c r="I5" s="27"/>
      <c r="J5" s="28">
        <f t="shared" si="2"/>
        <v>17.600000000000001</v>
      </c>
      <c r="K5" s="28">
        <f t="shared" si="3"/>
        <v>0.35200000000000004</v>
      </c>
      <c r="L5" s="28">
        <f>K5/0.64</f>
        <v>0.55000000000000004</v>
      </c>
      <c r="M5" s="16" t="s">
        <v>29</v>
      </c>
      <c r="N5" s="27">
        <v>0.79500000000000004</v>
      </c>
      <c r="O5" s="27"/>
      <c r="P5" s="28">
        <f t="shared" si="4"/>
        <v>16.050686378035895</v>
      </c>
      <c r="Q5" s="28">
        <f t="shared" si="5"/>
        <v>0.32101372756071789</v>
      </c>
      <c r="R5" s="28">
        <f>Q5/0.51</f>
        <v>0.62943868149160365</v>
      </c>
      <c r="T5" s="16" t="s">
        <v>29</v>
      </c>
      <c r="U5" s="28">
        <f t="shared" si="6"/>
        <v>0.56979498894245217</v>
      </c>
      <c r="V5" s="28">
        <f t="shared" si="7"/>
        <v>5.2617158927787434E-2</v>
      </c>
    </row>
    <row r="6" spans="1:22" x14ac:dyDescent="0.25">
      <c r="A6" s="16" t="s">
        <v>30</v>
      </c>
      <c r="B6" s="27">
        <v>0.70699999999999996</v>
      </c>
      <c r="C6" s="27"/>
      <c r="D6" s="27">
        <f t="shared" si="0"/>
        <v>19.567690557451652</v>
      </c>
      <c r="E6" s="27">
        <f t="shared" si="1"/>
        <v>0.39135381114903306</v>
      </c>
      <c r="F6" s="28">
        <f>E6/0.73</f>
        <v>0.53610111116305903</v>
      </c>
      <c r="G6" s="16" t="s">
        <v>30</v>
      </c>
      <c r="H6" s="27">
        <v>0.70299999999999996</v>
      </c>
      <c r="I6" s="27"/>
      <c r="J6" s="28">
        <f t="shared" si="2"/>
        <v>19.657142857142862</v>
      </c>
      <c r="K6" s="28">
        <f t="shared" si="3"/>
        <v>0.39314285714285724</v>
      </c>
      <c r="L6" s="28">
        <f>K6/0.79</f>
        <v>0.49764918625678128</v>
      </c>
      <c r="M6" s="16" t="s">
        <v>30</v>
      </c>
      <c r="N6" s="27">
        <v>0.72899999999999998</v>
      </c>
      <c r="O6" s="27"/>
      <c r="P6" s="28">
        <f t="shared" si="4"/>
        <v>23.020063357972543</v>
      </c>
      <c r="Q6" s="28">
        <f t="shared" si="5"/>
        <v>0.46040126715945084</v>
      </c>
      <c r="R6" s="28">
        <f>Q6/0.68</f>
        <v>0.67706068699919242</v>
      </c>
      <c r="T6" s="16" t="s">
        <v>30</v>
      </c>
      <c r="U6" s="28">
        <f t="shared" si="6"/>
        <v>0.5702703281396776</v>
      </c>
      <c r="V6" s="28">
        <f t="shared" si="7"/>
        <v>9.4460431881595294E-2</v>
      </c>
    </row>
    <row r="7" spans="1:22" x14ac:dyDescent="0.25">
      <c r="A7" s="17" t="s">
        <v>149</v>
      </c>
      <c r="B7" s="27">
        <v>0.378</v>
      </c>
      <c r="C7" s="27"/>
      <c r="D7" s="27">
        <f t="shared" si="0"/>
        <v>56.996587030716725</v>
      </c>
      <c r="E7" s="27">
        <f t="shared" si="1"/>
        <v>1.1399317406143346</v>
      </c>
      <c r="F7" s="28">
        <f>E7/0.62</f>
        <v>1.8385995816360234</v>
      </c>
      <c r="G7" s="17" t="s">
        <v>149</v>
      </c>
      <c r="H7" s="27">
        <v>0.26500000000000001</v>
      </c>
      <c r="I7" s="27"/>
      <c r="J7" s="28">
        <f t="shared" si="2"/>
        <v>69.714285714285722</v>
      </c>
      <c r="K7" s="28">
        <f t="shared" si="3"/>
        <v>1.3942857142857144</v>
      </c>
      <c r="L7" s="28">
        <f>K7/0.78</f>
        <v>1.7875457875457876</v>
      </c>
      <c r="M7" s="17" t="s">
        <v>149</v>
      </c>
      <c r="N7" s="27">
        <v>0.312</v>
      </c>
      <c r="O7" s="27"/>
      <c r="P7" s="28">
        <f t="shared" si="4"/>
        <v>67.053854276663145</v>
      </c>
      <c r="Q7" s="28">
        <f t="shared" si="5"/>
        <v>1.341077085533263</v>
      </c>
      <c r="R7" s="28">
        <f>Q7/0.71</f>
        <v>1.8888409655398071</v>
      </c>
      <c r="T7" s="17" t="s">
        <v>149</v>
      </c>
      <c r="U7" s="28">
        <f t="shared" si="6"/>
        <v>1.8383287782405393</v>
      </c>
      <c r="V7" s="28">
        <f t="shared" si="7"/>
        <v>5.0648131970184987E-2</v>
      </c>
    </row>
    <row r="8" spans="1:22" x14ac:dyDescent="0.25">
      <c r="A8" s="17" t="s">
        <v>150</v>
      </c>
      <c r="B8" s="27">
        <v>0.35699999999999998</v>
      </c>
      <c r="C8" s="27"/>
      <c r="D8" s="27">
        <f t="shared" si="0"/>
        <v>59.385665529010247</v>
      </c>
      <c r="E8" s="27">
        <f t="shared" si="1"/>
        <v>1.1877133105802049</v>
      </c>
      <c r="F8" s="28">
        <f>E8/0.33</f>
        <v>3.599131244182439</v>
      </c>
      <c r="G8" s="17" t="s">
        <v>150</v>
      </c>
      <c r="H8" s="27">
        <v>0.35899999999999999</v>
      </c>
      <c r="I8" s="27"/>
      <c r="J8" s="28">
        <f t="shared" si="2"/>
        <v>58.971428571428575</v>
      </c>
      <c r="K8" s="28">
        <f t="shared" si="3"/>
        <v>1.1794285714285715</v>
      </c>
      <c r="L8" s="28">
        <f>K8/0.33</f>
        <v>3.5740259740259739</v>
      </c>
      <c r="M8" s="17" t="s">
        <v>150</v>
      </c>
      <c r="N8" s="27">
        <v>0.312</v>
      </c>
      <c r="O8" s="27"/>
      <c r="P8" s="28">
        <f t="shared" si="4"/>
        <v>67.053854276663145</v>
      </c>
      <c r="Q8" s="28">
        <f t="shared" si="5"/>
        <v>1.341077085533263</v>
      </c>
      <c r="R8" s="28">
        <f>Q8/0.38</f>
        <v>3.529150225087534</v>
      </c>
      <c r="T8" s="17" t="s">
        <v>150</v>
      </c>
      <c r="U8" s="28">
        <f t="shared" si="6"/>
        <v>3.5674358144319824</v>
      </c>
      <c r="V8" s="28">
        <f t="shared" si="7"/>
        <v>3.5452904126405164E-2</v>
      </c>
    </row>
    <row r="9" spans="1:22" x14ac:dyDescent="0.25">
      <c r="A9" s="16" t="s">
        <v>151</v>
      </c>
      <c r="B9" s="27">
        <v>0.70299999999999996</v>
      </c>
      <c r="C9" s="27"/>
      <c r="D9" s="27">
        <f t="shared" si="0"/>
        <v>20.022753128555181</v>
      </c>
      <c r="E9" s="27">
        <f t="shared" si="1"/>
        <v>0.40045506257110364</v>
      </c>
      <c r="F9" s="28">
        <f>E9/0.6</f>
        <v>0.66742510428517277</v>
      </c>
      <c r="G9" s="16" t="s">
        <v>151</v>
      </c>
      <c r="H9" s="27">
        <v>0.69299999999999995</v>
      </c>
      <c r="I9" s="27"/>
      <c r="J9" s="28">
        <f t="shared" si="2"/>
        <v>20.800000000000004</v>
      </c>
      <c r="K9" s="28">
        <f t="shared" si="3"/>
        <v>0.41600000000000009</v>
      </c>
      <c r="L9" s="28">
        <f>K9/0.64</f>
        <v>0.65000000000000013</v>
      </c>
      <c r="M9" s="16" t="s">
        <v>151</v>
      </c>
      <c r="N9" s="27">
        <v>0.74299999999999999</v>
      </c>
      <c r="O9" s="27"/>
      <c r="P9" s="28">
        <f t="shared" si="4"/>
        <v>21.541710665258709</v>
      </c>
      <c r="Q9" s="28">
        <f t="shared" si="5"/>
        <v>0.43083421330517419</v>
      </c>
      <c r="R9" s="28">
        <f>Q9/0.6</f>
        <v>0.71805702217529033</v>
      </c>
      <c r="T9" s="16" t="s">
        <v>151</v>
      </c>
      <c r="U9" s="28">
        <f t="shared" si="6"/>
        <v>0.67849404215348785</v>
      </c>
      <c r="V9" s="28">
        <f t="shared" si="7"/>
        <v>3.5352943385119268E-2</v>
      </c>
    </row>
    <row r="10" spans="1:22" x14ac:dyDescent="0.25">
      <c r="A10" s="16" t="s">
        <v>152</v>
      </c>
      <c r="B10" s="27">
        <v>0.71199999999999997</v>
      </c>
      <c r="C10" s="27"/>
      <c r="D10" s="27">
        <f t="shared" si="0"/>
        <v>18.998862343572245</v>
      </c>
      <c r="E10" s="27">
        <f t="shared" si="1"/>
        <v>0.37997724687144491</v>
      </c>
      <c r="F10" s="28">
        <f>E10/0.58</f>
        <v>0.655133184261112</v>
      </c>
      <c r="G10" s="16" t="s">
        <v>152</v>
      </c>
      <c r="H10" s="27">
        <v>0.69799999999999995</v>
      </c>
      <c r="I10" s="27"/>
      <c r="J10" s="28">
        <f t="shared" si="2"/>
        <v>20.228571428571435</v>
      </c>
      <c r="K10" s="28">
        <f t="shared" si="3"/>
        <v>0.40457142857142869</v>
      </c>
      <c r="L10" s="28">
        <f>K10/0.68</f>
        <v>0.59495798319327742</v>
      </c>
      <c r="M10" s="16" t="s">
        <v>152</v>
      </c>
      <c r="N10" s="27">
        <v>0.77900000000000003</v>
      </c>
      <c r="O10" s="27"/>
      <c r="P10" s="28">
        <f t="shared" si="4"/>
        <v>17.74023231256599</v>
      </c>
      <c r="Q10" s="28">
        <f t="shared" si="5"/>
        <v>0.3548046462513198</v>
      </c>
      <c r="R10" s="28">
        <f>Q10/0.59</f>
        <v>0.60136380720562677</v>
      </c>
      <c r="T10" s="16" t="s">
        <v>152</v>
      </c>
      <c r="U10" s="28">
        <f t="shared" si="6"/>
        <v>0.61715165822000539</v>
      </c>
      <c r="V10" s="28">
        <f t="shared" si="7"/>
        <v>3.3048538328158211E-2</v>
      </c>
    </row>
    <row r="11" spans="1:22" x14ac:dyDescent="0.25">
      <c r="A11" s="16" t="s">
        <v>153</v>
      </c>
      <c r="B11" s="27">
        <v>0.66500000000000004</v>
      </c>
      <c r="C11" s="27"/>
      <c r="D11" s="27">
        <f t="shared" si="0"/>
        <v>24.345847554038677</v>
      </c>
      <c r="E11" s="27">
        <f t="shared" si="1"/>
        <v>0.48691695108077354</v>
      </c>
      <c r="F11" s="28">
        <f>E11/0.43</f>
        <v>1.1323650025134269</v>
      </c>
      <c r="G11" s="16" t="s">
        <v>153</v>
      </c>
      <c r="H11" s="27">
        <v>0.71</v>
      </c>
      <c r="I11" s="27"/>
      <c r="J11" s="28">
        <f t="shared" si="2"/>
        <v>18.857142857142861</v>
      </c>
      <c r="K11" s="28">
        <f t="shared" si="3"/>
        <v>0.37714285714285722</v>
      </c>
      <c r="L11" s="28">
        <f>K11/0.37</f>
        <v>1.0193050193050195</v>
      </c>
      <c r="M11" s="16" t="s">
        <v>153</v>
      </c>
      <c r="N11" s="27">
        <v>0.70799999999999996</v>
      </c>
      <c r="O11" s="27"/>
      <c r="P11" s="28">
        <f t="shared" si="4"/>
        <v>25.237592397043297</v>
      </c>
      <c r="Q11" s="28">
        <f t="shared" si="5"/>
        <v>0.50475184794086592</v>
      </c>
      <c r="R11" s="28">
        <f>Q11/0.45</f>
        <v>1.1216707732019242</v>
      </c>
      <c r="T11" s="16" t="s">
        <v>153</v>
      </c>
      <c r="U11" s="28">
        <f t="shared" si="6"/>
        <v>1.0911135983401234</v>
      </c>
      <c r="V11" s="28">
        <f t="shared" si="7"/>
        <v>6.2417510783612136E-2</v>
      </c>
    </row>
    <row r="12" spans="1:22" x14ac:dyDescent="0.25">
      <c r="A12" s="16" t="s">
        <v>154</v>
      </c>
      <c r="B12" s="27">
        <v>0.79210000000000003</v>
      </c>
      <c r="C12" s="27"/>
      <c r="D12" s="27">
        <f t="shared" si="0"/>
        <v>9.8862343572241169</v>
      </c>
      <c r="E12" s="27">
        <f t="shared" si="1"/>
        <v>0.19772468714448233</v>
      </c>
      <c r="F12" s="28">
        <f>E12/0.2</f>
        <v>0.98862343572241163</v>
      </c>
      <c r="G12" s="16" t="s">
        <v>154</v>
      </c>
      <c r="H12" s="27">
        <v>0.61599999999999999</v>
      </c>
      <c r="I12" s="27"/>
      <c r="J12" s="28">
        <f t="shared" si="2"/>
        <v>29.599999999999998</v>
      </c>
      <c r="K12" s="28">
        <f t="shared" si="3"/>
        <v>0.59199999999999997</v>
      </c>
      <c r="L12" s="28">
        <f>K12/0.59</f>
        <v>1.0033898305084745</v>
      </c>
      <c r="M12" s="16" t="s">
        <v>154</v>
      </c>
      <c r="N12" s="27">
        <v>0.84599999999999997</v>
      </c>
      <c r="O12" s="27"/>
      <c r="P12" s="28">
        <f t="shared" si="4"/>
        <v>10.665258711721224</v>
      </c>
      <c r="Q12" s="28">
        <f t="shared" si="5"/>
        <v>0.21330517423442447</v>
      </c>
      <c r="R12" s="28">
        <f>Q12/0.19</f>
        <v>1.1226588117601288</v>
      </c>
      <c r="T12" s="16" t="s">
        <v>154</v>
      </c>
      <c r="U12" s="28">
        <f t="shared" si="6"/>
        <v>1.038224025997005</v>
      </c>
      <c r="V12" s="28">
        <f t="shared" si="7"/>
        <v>7.3494465022156133E-2</v>
      </c>
    </row>
    <row r="13" spans="1:22" x14ac:dyDescent="0.25">
      <c r="A13" s="17" t="s">
        <v>155</v>
      </c>
      <c r="B13" s="27">
        <v>0.48099999999999998</v>
      </c>
      <c r="C13" s="27"/>
      <c r="D13" s="27">
        <f t="shared" si="0"/>
        <v>45.278725824800915</v>
      </c>
      <c r="E13" s="27">
        <f t="shared" si="1"/>
        <v>0.90557451649601828</v>
      </c>
      <c r="F13" s="28">
        <f>E13/0.62</f>
        <v>1.4606040588645457</v>
      </c>
      <c r="G13" s="17" t="s">
        <v>155</v>
      </c>
      <c r="H13" s="27">
        <v>0.47599999999999998</v>
      </c>
      <c r="I13" s="27"/>
      <c r="J13" s="28">
        <f t="shared" si="2"/>
        <v>45.6</v>
      </c>
      <c r="K13" s="28">
        <f t="shared" si="3"/>
        <v>0.91200000000000003</v>
      </c>
      <c r="L13" s="28">
        <f>K13/0.63</f>
        <v>1.4476190476190476</v>
      </c>
      <c r="M13" s="17" t="s">
        <v>155</v>
      </c>
      <c r="N13" s="27">
        <v>0.499</v>
      </c>
      <c r="O13" s="27"/>
      <c r="P13" s="28">
        <f t="shared" si="4"/>
        <v>47.307286166842658</v>
      </c>
      <c r="Q13" s="28">
        <f t="shared" si="5"/>
        <v>0.94614572333685321</v>
      </c>
      <c r="R13" s="28">
        <f>Q13/0.6</f>
        <v>1.5769095388947554</v>
      </c>
      <c r="T13" s="17" t="s">
        <v>155</v>
      </c>
      <c r="U13" s="28">
        <f t="shared" si="6"/>
        <v>1.4950442151261161</v>
      </c>
      <c r="V13" s="28">
        <f t="shared" si="7"/>
        <v>7.1194108296048733E-2</v>
      </c>
    </row>
    <row r="14" spans="1:22" x14ac:dyDescent="0.25">
      <c r="A14" s="17" t="s">
        <v>156</v>
      </c>
      <c r="B14" s="27">
        <v>0.49399999999999999</v>
      </c>
      <c r="C14" s="27"/>
      <c r="D14" s="27">
        <f t="shared" si="0"/>
        <v>43.799772468714451</v>
      </c>
      <c r="E14" s="27">
        <f t="shared" si="1"/>
        <v>0.87599544937428897</v>
      </c>
      <c r="F14" s="28">
        <f>E14/0.62</f>
        <v>1.4128958860875629</v>
      </c>
      <c r="G14" s="17" t="s">
        <v>156</v>
      </c>
      <c r="H14" s="27">
        <v>0.497</v>
      </c>
      <c r="I14" s="27"/>
      <c r="J14" s="28">
        <f t="shared" si="2"/>
        <v>43.2</v>
      </c>
      <c r="K14" s="28">
        <f t="shared" si="3"/>
        <v>0.8640000000000001</v>
      </c>
      <c r="L14" s="28">
        <f>K14/0.62</f>
        <v>1.3935483870967744</v>
      </c>
      <c r="M14" s="17" t="s">
        <v>156</v>
      </c>
      <c r="N14" s="27">
        <v>0.58299999999999996</v>
      </c>
      <c r="O14" s="27"/>
      <c r="P14" s="28">
        <f t="shared" si="4"/>
        <v>38.437170010559662</v>
      </c>
      <c r="Q14" s="28">
        <f t="shared" si="5"/>
        <v>0.76874340021119325</v>
      </c>
      <c r="R14" s="28">
        <f>Q14/0.5</f>
        <v>1.5374868004223865</v>
      </c>
      <c r="T14" s="17" t="s">
        <v>156</v>
      </c>
      <c r="U14" s="28">
        <f t="shared" si="6"/>
        <v>1.4479770245355745</v>
      </c>
      <c r="V14" s="28">
        <f t="shared" si="7"/>
        <v>7.811902081938886E-2</v>
      </c>
    </row>
    <row r="15" spans="1:22" x14ac:dyDescent="0.25">
      <c r="A15" s="17" t="s">
        <v>157</v>
      </c>
      <c r="B15" s="27">
        <v>0.47899999999999998</v>
      </c>
      <c r="C15" s="27"/>
      <c r="D15" s="27">
        <f t="shared" si="0"/>
        <v>45.506257110352678</v>
      </c>
      <c r="E15" s="27">
        <f t="shared" si="1"/>
        <v>0.91012514220705354</v>
      </c>
      <c r="F15" s="28">
        <f>E15/0.53</f>
        <v>1.7172172494472708</v>
      </c>
      <c r="G15" s="17" t="s">
        <v>157</v>
      </c>
      <c r="H15" s="27">
        <v>0.434</v>
      </c>
      <c r="I15" s="27"/>
      <c r="J15" s="28">
        <f t="shared" si="2"/>
        <v>50.4</v>
      </c>
      <c r="K15" s="28">
        <f t="shared" si="3"/>
        <v>1.008</v>
      </c>
      <c r="L15" s="28">
        <f>K15/0.59</f>
        <v>1.7084745762711866</v>
      </c>
      <c r="M15" s="17" t="s">
        <v>157</v>
      </c>
      <c r="N15" s="27">
        <v>0.60099999999999998</v>
      </c>
      <c r="O15" s="27"/>
      <c r="P15" s="28">
        <f t="shared" si="4"/>
        <v>36.536430834213299</v>
      </c>
      <c r="Q15" s="28">
        <f t="shared" si="5"/>
        <v>0.73072861668426592</v>
      </c>
      <c r="R15" s="28">
        <f>Q15/0.44</f>
        <v>1.6607468561006045</v>
      </c>
      <c r="T15" s="17" t="s">
        <v>157</v>
      </c>
      <c r="U15" s="28">
        <f t="shared" si="6"/>
        <v>1.695479560606354</v>
      </c>
      <c r="V15" s="28">
        <f t="shared" si="7"/>
        <v>3.0395380492415941E-2</v>
      </c>
    </row>
    <row r="16" spans="1:22" x14ac:dyDescent="0.25">
      <c r="A16" s="17" t="s">
        <v>158</v>
      </c>
      <c r="B16" s="27">
        <v>0.55100000000000005</v>
      </c>
      <c r="C16" s="27"/>
      <c r="D16" s="27">
        <f t="shared" si="0"/>
        <v>37.315130830489181</v>
      </c>
      <c r="E16" s="27">
        <f t="shared" si="1"/>
        <v>0.74630261660978359</v>
      </c>
      <c r="F16" s="28">
        <f>E16/0.26</f>
        <v>2.8703946792683985</v>
      </c>
      <c r="G16" s="17" t="s">
        <v>158</v>
      </c>
      <c r="H16" s="27">
        <v>0.56699999999999995</v>
      </c>
      <c r="I16" s="27"/>
      <c r="J16" s="28">
        <f t="shared" si="2"/>
        <v>35.200000000000003</v>
      </c>
      <c r="K16" s="28">
        <f t="shared" si="3"/>
        <v>0.70400000000000007</v>
      </c>
      <c r="L16" s="28">
        <f>K16/0.24</f>
        <v>2.9333333333333336</v>
      </c>
      <c r="M16" s="17" t="s">
        <v>158</v>
      </c>
      <c r="N16" s="27">
        <v>0.61</v>
      </c>
      <c r="O16" s="27"/>
      <c r="P16" s="28">
        <f t="shared" si="4"/>
        <v>35.586061246040124</v>
      </c>
      <c r="Q16" s="28">
        <f t="shared" si="5"/>
        <v>0.71172122492080248</v>
      </c>
      <c r="R16" s="28">
        <f>Q16/0.24</f>
        <v>2.9655051038366769</v>
      </c>
      <c r="T16" s="17" t="s">
        <v>158</v>
      </c>
      <c r="U16" s="28">
        <f t="shared" si="6"/>
        <v>2.9230777054794697</v>
      </c>
      <c r="V16" s="28">
        <f t="shared" si="7"/>
        <v>4.8377491071750024E-2</v>
      </c>
    </row>
    <row r="17" spans="1:22" x14ac:dyDescent="0.25">
      <c r="A17" s="18" t="s">
        <v>294</v>
      </c>
      <c r="B17" s="27">
        <v>0.70809999999999995</v>
      </c>
      <c r="C17" s="27">
        <v>0.77649999999999997</v>
      </c>
      <c r="D17" s="28">
        <f>(($C$17-B17)/$C$17)*100</f>
        <v>8.8087572440437878</v>
      </c>
      <c r="E17" s="28">
        <f>D17/50</f>
        <v>0.17617514488087577</v>
      </c>
      <c r="F17" s="28">
        <f>E17/0.59</f>
        <v>0.29860194047606065</v>
      </c>
      <c r="G17" s="18" t="s">
        <v>294</v>
      </c>
      <c r="H17" s="27">
        <v>0.91569999999999996</v>
      </c>
      <c r="I17" s="27">
        <v>0.98499999999999999</v>
      </c>
      <c r="J17" s="28">
        <f>(($I$17-H17)/$I$17)*100</f>
        <v>7.0355329949238614</v>
      </c>
      <c r="K17" s="28">
        <f>J17/50</f>
        <v>0.14071065989847722</v>
      </c>
      <c r="L17" s="28">
        <f>K17/0.56</f>
        <v>0.25126903553299501</v>
      </c>
      <c r="M17" s="18" t="s">
        <v>294</v>
      </c>
      <c r="N17" s="27">
        <v>0.70530000000000004</v>
      </c>
      <c r="O17" s="27">
        <v>0.76400000000000001</v>
      </c>
      <c r="P17" s="28">
        <f>(($O$17-N17)/$O$17)*100</f>
        <v>7.6832460732984265</v>
      </c>
      <c r="Q17" s="28">
        <f>P17/50</f>
        <v>0.15366492146596852</v>
      </c>
      <c r="R17" s="28">
        <f>Q17/0.49</f>
        <v>0.31360188054279292</v>
      </c>
      <c r="T17" s="18" t="s">
        <v>294</v>
      </c>
      <c r="U17" s="28">
        <f t="shared" si="6"/>
        <v>0.28782428551728284</v>
      </c>
      <c r="V17" s="28">
        <f t="shared" si="7"/>
        <v>3.2534047958434599E-2</v>
      </c>
    </row>
    <row r="18" spans="1:22" x14ac:dyDescent="0.25">
      <c r="A18" s="15" t="s">
        <v>160</v>
      </c>
      <c r="B18" s="27">
        <v>0.70179999999999998</v>
      </c>
      <c r="C18" s="27"/>
      <c r="D18" s="28">
        <f t="shared" ref="D18:D31" si="8">(($C$17-B18)/$C$17)*100</f>
        <v>9.6200901481004486</v>
      </c>
      <c r="E18" s="28">
        <f t="shared" ref="E18:E31" si="9">D18/50</f>
        <v>0.19240180296200898</v>
      </c>
      <c r="F18" s="28">
        <f>E18/0.62</f>
        <v>0.31032548864840159</v>
      </c>
      <c r="G18" s="15" t="s">
        <v>160</v>
      </c>
      <c r="H18" s="27">
        <v>0.91500000000000004</v>
      </c>
      <c r="I18" s="27"/>
      <c r="J18" s="28">
        <f t="shared" ref="J18:J31" si="10">(($I$17-H18)/$I$17)*100</f>
        <v>7.1065989847715683</v>
      </c>
      <c r="K18" s="28">
        <f t="shared" ref="K18:K31" si="11">J18/50</f>
        <v>0.14213197969543137</v>
      </c>
      <c r="L18" s="28">
        <f>K18/0.54</f>
        <v>0.2632073698063544</v>
      </c>
      <c r="M18" s="15" t="s">
        <v>160</v>
      </c>
      <c r="N18" s="27">
        <v>0.70140000000000002</v>
      </c>
      <c r="O18" s="27"/>
      <c r="P18" s="28">
        <f t="shared" ref="P18:P31" si="12">(($O$17-N18)/$O$17)*100</f>
        <v>8.1937172774869094</v>
      </c>
      <c r="Q18" s="28">
        <f t="shared" ref="Q18:Q31" si="13">P18/50</f>
        <v>0.16387434554973818</v>
      </c>
      <c r="R18" s="28">
        <f>Q18/0.47</f>
        <v>0.34866882031859187</v>
      </c>
      <c r="T18" s="15" t="s">
        <v>160</v>
      </c>
      <c r="U18" s="28">
        <f t="shared" si="6"/>
        <v>0.30740055959111595</v>
      </c>
      <c r="V18" s="28">
        <f t="shared" si="7"/>
        <v>4.2805738965780528E-2</v>
      </c>
    </row>
    <row r="19" spans="1:22" x14ac:dyDescent="0.25">
      <c r="A19" s="15" t="s">
        <v>161</v>
      </c>
      <c r="B19" s="27">
        <v>0.71850000000000003</v>
      </c>
      <c r="C19" s="27"/>
      <c r="D19" s="28">
        <f t="shared" si="8"/>
        <v>7.4694140373470619</v>
      </c>
      <c r="E19" s="28">
        <f t="shared" si="9"/>
        <v>0.14938828074694124</v>
      </c>
      <c r="F19" s="28">
        <f>E19/0.47</f>
        <v>0.31784740584455584</v>
      </c>
      <c r="G19" s="15" t="s">
        <v>161</v>
      </c>
      <c r="H19" s="27">
        <v>0.91779999999999995</v>
      </c>
      <c r="I19" s="27"/>
      <c r="J19" s="28">
        <f t="shared" si="10"/>
        <v>6.8223350253807142</v>
      </c>
      <c r="K19" s="28">
        <f t="shared" si="11"/>
        <v>0.13644670050761429</v>
      </c>
      <c r="L19" s="28">
        <f>K19/0.48</f>
        <v>0.28426395939086313</v>
      </c>
      <c r="M19" s="15" t="s">
        <v>161</v>
      </c>
      <c r="N19" s="27">
        <v>0.69869999999999999</v>
      </c>
      <c r="O19" s="27"/>
      <c r="P19" s="28">
        <f t="shared" si="12"/>
        <v>8.5471204188481718</v>
      </c>
      <c r="Q19" s="28">
        <f t="shared" si="13"/>
        <v>0.17094240837696342</v>
      </c>
      <c r="R19" s="28">
        <f>Q19/0.48</f>
        <v>0.35613001745200712</v>
      </c>
      <c r="T19" s="15" t="s">
        <v>161</v>
      </c>
      <c r="U19" s="28">
        <f t="shared" si="6"/>
        <v>0.31941379422914201</v>
      </c>
      <c r="V19" s="28">
        <f t="shared" si="7"/>
        <v>3.5958625595821296E-2</v>
      </c>
    </row>
    <row r="20" spans="1:22" x14ac:dyDescent="0.25">
      <c r="A20" s="16" t="s">
        <v>162</v>
      </c>
      <c r="B20" s="27">
        <v>0.64900000000000002</v>
      </c>
      <c r="C20" s="27"/>
      <c r="D20" s="28">
        <f t="shared" si="8"/>
        <v>16.419832582099154</v>
      </c>
      <c r="E20" s="28">
        <f t="shared" si="9"/>
        <v>0.32839665164198306</v>
      </c>
      <c r="F20" s="28">
        <f>E20/0.43</f>
        <v>0.76371314335344898</v>
      </c>
      <c r="G20" s="16" t="s">
        <v>162</v>
      </c>
      <c r="H20" s="27">
        <v>0.79300000000000004</v>
      </c>
      <c r="I20" s="27"/>
      <c r="J20" s="28">
        <f t="shared" si="10"/>
        <v>19.492385786802025</v>
      </c>
      <c r="K20" s="28">
        <f t="shared" si="11"/>
        <v>0.38984771573604049</v>
      </c>
      <c r="L20" s="28">
        <f>K20/0.47</f>
        <v>0.82946322497029901</v>
      </c>
      <c r="M20" s="16" t="s">
        <v>162</v>
      </c>
      <c r="N20" s="27">
        <v>0.65600000000000003</v>
      </c>
      <c r="O20" s="27"/>
      <c r="P20" s="28">
        <f t="shared" si="12"/>
        <v>14.136125654450261</v>
      </c>
      <c r="Q20" s="28">
        <f t="shared" si="13"/>
        <v>0.2827225130890052</v>
      </c>
      <c r="R20" s="28">
        <f>Q20/0.35</f>
        <v>0.80777860882572916</v>
      </c>
      <c r="T20" s="16" t="s">
        <v>162</v>
      </c>
      <c r="U20" s="28">
        <f t="shared" si="6"/>
        <v>0.80031832571649242</v>
      </c>
      <c r="V20" s="28">
        <f t="shared" si="7"/>
        <v>3.3503883001945949E-2</v>
      </c>
    </row>
    <row r="21" spans="1:22" x14ac:dyDescent="0.25">
      <c r="A21" s="16" t="s">
        <v>163</v>
      </c>
      <c r="B21" s="27">
        <v>0.60470000000000002</v>
      </c>
      <c r="C21" s="27"/>
      <c r="D21" s="28">
        <f t="shared" si="8"/>
        <v>22.12491951062459</v>
      </c>
      <c r="E21" s="28">
        <f t="shared" si="9"/>
        <v>0.44249839021249182</v>
      </c>
      <c r="F21" s="28">
        <f>E21/0.38</f>
        <v>1.1644694479276101</v>
      </c>
      <c r="G21" s="16" t="s">
        <v>163</v>
      </c>
      <c r="H21" s="27">
        <v>0.77659999999999996</v>
      </c>
      <c r="I21" s="27"/>
      <c r="J21" s="28">
        <f t="shared" si="10"/>
        <v>21.157360406091374</v>
      </c>
      <c r="K21" s="28">
        <f t="shared" si="11"/>
        <v>0.42314720812182749</v>
      </c>
      <c r="L21" s="28">
        <f>K21/0.42</f>
        <v>1.0074933526710179</v>
      </c>
      <c r="M21" s="16" t="s">
        <v>163</v>
      </c>
      <c r="N21" s="27">
        <v>0.63400000000000001</v>
      </c>
      <c r="O21" s="27"/>
      <c r="P21" s="28">
        <f t="shared" si="12"/>
        <v>17.015706806282722</v>
      </c>
      <c r="Q21" s="28">
        <f t="shared" si="13"/>
        <v>0.34031413612565442</v>
      </c>
      <c r="R21" s="28">
        <f>Q21/0.34</f>
        <v>1.0009239297813364</v>
      </c>
      <c r="T21" s="16" t="s">
        <v>163</v>
      </c>
      <c r="U21" s="28">
        <f t="shared" si="6"/>
        <v>1.0576289101266549</v>
      </c>
      <c r="V21" s="28">
        <f t="shared" si="7"/>
        <v>9.2584905451557745E-2</v>
      </c>
    </row>
    <row r="22" spans="1:22" x14ac:dyDescent="0.25">
      <c r="A22" s="17" t="s">
        <v>164</v>
      </c>
      <c r="B22" s="27">
        <v>0.31869999999999998</v>
      </c>
      <c r="C22" s="27"/>
      <c r="D22" s="28">
        <f t="shared" si="8"/>
        <v>58.95685769478429</v>
      </c>
      <c r="E22" s="28">
        <f t="shared" si="9"/>
        <v>1.1791371538956859</v>
      </c>
      <c r="F22" s="28">
        <f>E22/0.58</f>
        <v>2.0329950929235965</v>
      </c>
      <c r="G22" s="17" t="s">
        <v>164</v>
      </c>
      <c r="H22" s="27">
        <v>0.376</v>
      </c>
      <c r="I22" s="27"/>
      <c r="J22" s="28">
        <f t="shared" si="10"/>
        <v>61.827411167512693</v>
      </c>
      <c r="K22" s="28">
        <f t="shared" si="11"/>
        <v>1.2365482233502538</v>
      </c>
      <c r="L22" s="28">
        <f>K22/0.56</f>
        <v>2.2081218274111674</v>
      </c>
      <c r="M22" s="17" t="s">
        <v>164</v>
      </c>
      <c r="N22" s="27">
        <v>0.35599999999999998</v>
      </c>
      <c r="O22" s="27"/>
      <c r="P22" s="28">
        <f t="shared" si="12"/>
        <v>53.403141361256544</v>
      </c>
      <c r="Q22" s="28">
        <f t="shared" si="13"/>
        <v>1.0680628272251309</v>
      </c>
      <c r="R22" s="28">
        <f>Q22/0.49</f>
        <v>2.1797200555614915</v>
      </c>
      <c r="T22" s="17" t="s">
        <v>164</v>
      </c>
      <c r="U22" s="28">
        <f t="shared" si="6"/>
        <v>2.1402789919654186</v>
      </c>
      <c r="V22" s="28">
        <f t="shared" si="7"/>
        <v>9.3989581370820807E-2</v>
      </c>
    </row>
    <row r="23" spans="1:22" x14ac:dyDescent="0.25">
      <c r="A23" s="17" t="s">
        <v>165</v>
      </c>
      <c r="B23" s="27">
        <v>0.45200000000000001</v>
      </c>
      <c r="C23" s="27"/>
      <c r="D23" s="28">
        <f t="shared" si="8"/>
        <v>41.790083708950412</v>
      </c>
      <c r="E23" s="28">
        <f t="shared" si="9"/>
        <v>0.83580167417900819</v>
      </c>
      <c r="F23" s="28">
        <f>E23/0.15</f>
        <v>5.5720111611933882</v>
      </c>
      <c r="G23" s="17" t="s">
        <v>165</v>
      </c>
      <c r="H23" s="27">
        <v>0.3765</v>
      </c>
      <c r="I23" s="27"/>
      <c r="J23" s="28">
        <f t="shared" si="10"/>
        <v>61.776649746192902</v>
      </c>
      <c r="K23" s="28">
        <f t="shared" si="11"/>
        <v>1.235532994923858</v>
      </c>
      <c r="L23" s="28">
        <f>K23/0.22</f>
        <v>5.6160590678357183</v>
      </c>
      <c r="M23" s="17" t="s">
        <v>165</v>
      </c>
      <c r="N23" s="27">
        <v>0.35</v>
      </c>
      <c r="O23" s="27"/>
      <c r="P23" s="28">
        <f t="shared" si="12"/>
        <v>54.188481675392673</v>
      </c>
      <c r="Q23" s="28">
        <f t="shared" si="13"/>
        <v>1.0837696335078535</v>
      </c>
      <c r="R23" s="28">
        <f>Q23/0.19</f>
        <v>5.7040507026729133</v>
      </c>
      <c r="T23" s="17" t="s">
        <v>165</v>
      </c>
      <c r="U23" s="28">
        <f t="shared" si="6"/>
        <v>5.6307069772340066</v>
      </c>
      <c r="V23" s="28">
        <f>STDEV(F23,L23,R23)</f>
        <v>6.7227457677917199E-2</v>
      </c>
    </row>
    <row r="24" spans="1:22" x14ac:dyDescent="0.25">
      <c r="A24" s="16" t="s">
        <v>166</v>
      </c>
      <c r="B24" s="27">
        <v>0.62270000000000003</v>
      </c>
      <c r="C24" s="27"/>
      <c r="D24" s="28">
        <f t="shared" si="8"/>
        <v>19.806825499034119</v>
      </c>
      <c r="E24" s="28">
        <f t="shared" si="9"/>
        <v>0.39613650998068239</v>
      </c>
      <c r="F24" s="28">
        <f>E24/0.31</f>
        <v>1.2778597096151045</v>
      </c>
      <c r="G24" s="16" t="s">
        <v>166</v>
      </c>
      <c r="H24" s="27">
        <v>0.72929999999999995</v>
      </c>
      <c r="I24" s="27"/>
      <c r="J24" s="28">
        <f t="shared" si="10"/>
        <v>25.959390862944165</v>
      </c>
      <c r="K24" s="28">
        <f t="shared" si="11"/>
        <v>0.5191878172588833</v>
      </c>
      <c r="L24" s="28">
        <f>K24/0.37</f>
        <v>1.4032103169159009</v>
      </c>
      <c r="M24" s="16" t="s">
        <v>166</v>
      </c>
      <c r="N24" s="27">
        <v>0.60370000000000001</v>
      </c>
      <c r="O24" s="27"/>
      <c r="P24" s="28">
        <f t="shared" si="12"/>
        <v>20.981675392670159</v>
      </c>
      <c r="Q24" s="28">
        <f t="shared" si="13"/>
        <v>0.4196335078534032</v>
      </c>
      <c r="R24" s="28">
        <f>Q24/0.34</f>
        <v>1.2342161995688328</v>
      </c>
      <c r="T24" s="16" t="s">
        <v>166</v>
      </c>
      <c r="U24" s="28">
        <f t="shared" si="6"/>
        <v>1.3050954086999462</v>
      </c>
      <c r="V24" s="28">
        <f t="shared" si="7"/>
        <v>8.772736404884561E-2</v>
      </c>
    </row>
    <row r="25" spans="1:22" x14ac:dyDescent="0.25">
      <c r="A25" s="16" t="s">
        <v>167</v>
      </c>
      <c r="B25" s="27">
        <v>0.54969999999999997</v>
      </c>
      <c r="C25" s="27"/>
      <c r="D25" s="28">
        <f t="shared" si="8"/>
        <v>29.207984546039924</v>
      </c>
      <c r="E25" s="28">
        <f t="shared" si="9"/>
        <v>0.58415969092079845</v>
      </c>
      <c r="F25" s="28">
        <f>E25/0.37</f>
        <v>1.5788099754616174</v>
      </c>
      <c r="G25" s="16" t="s">
        <v>167</v>
      </c>
      <c r="H25" s="27">
        <v>0.68089999999999995</v>
      </c>
      <c r="I25" s="27"/>
      <c r="J25" s="28">
        <f t="shared" si="10"/>
        <v>30.873096446700508</v>
      </c>
      <c r="K25" s="28">
        <f t="shared" si="11"/>
        <v>0.6174619289340102</v>
      </c>
      <c r="L25" s="28">
        <f>K25/0.4</f>
        <v>1.5436548223350255</v>
      </c>
      <c r="M25" s="16" t="s">
        <v>167</v>
      </c>
      <c r="N25" s="27">
        <v>0.56720000000000004</v>
      </c>
      <c r="O25" s="27"/>
      <c r="P25" s="28">
        <f t="shared" si="12"/>
        <v>25.759162303664919</v>
      </c>
      <c r="Q25" s="28">
        <f t="shared" si="13"/>
        <v>0.51518324607329835</v>
      </c>
      <c r="R25" s="28">
        <f>Q25/0.31</f>
        <v>1.6618814389461238</v>
      </c>
      <c r="T25" s="16" t="s">
        <v>167</v>
      </c>
      <c r="U25" s="28">
        <f>AVERAGE(F25,L25,R25)</f>
        <v>1.5947820789142557</v>
      </c>
      <c r="V25" s="28">
        <f t="shared" si="7"/>
        <v>6.0710083885242995E-2</v>
      </c>
    </row>
    <row r="26" spans="1:22" x14ac:dyDescent="0.25">
      <c r="A26" s="16" t="s">
        <v>168</v>
      </c>
      <c r="B26" s="27">
        <v>0.55869999999999997</v>
      </c>
      <c r="C26" s="27"/>
      <c r="D26" s="28">
        <f t="shared" si="8"/>
        <v>28.04893754024469</v>
      </c>
      <c r="E26" s="28">
        <f t="shared" si="9"/>
        <v>0.56097875080489379</v>
      </c>
      <c r="F26" s="28">
        <f>E26/0.44</f>
        <v>1.2749517063747586</v>
      </c>
      <c r="G26" s="16" t="s">
        <v>168</v>
      </c>
      <c r="H26" s="27">
        <v>0.68289999999999995</v>
      </c>
      <c r="I26" s="27"/>
      <c r="J26" s="28">
        <f t="shared" si="10"/>
        <v>30.670050761421326</v>
      </c>
      <c r="K26" s="28">
        <f t="shared" si="11"/>
        <v>0.61340101522842649</v>
      </c>
      <c r="L26" s="28">
        <f>K26/0.47</f>
        <v>1.3051085430392053</v>
      </c>
      <c r="M26" s="16" t="s">
        <v>168</v>
      </c>
      <c r="N26" s="27">
        <v>0.56399999999999995</v>
      </c>
      <c r="O26" s="27"/>
      <c r="P26" s="28">
        <f t="shared" si="12"/>
        <v>26.1780104712042</v>
      </c>
      <c r="Q26" s="28">
        <f t="shared" si="13"/>
        <v>0.52356020942408399</v>
      </c>
      <c r="R26" s="28">
        <f>Q26/0.44</f>
        <v>1.189909566872918</v>
      </c>
      <c r="T26" s="16" t="s">
        <v>168</v>
      </c>
      <c r="U26" s="28">
        <f t="shared" si="6"/>
        <v>1.2566566054289605</v>
      </c>
      <c r="V26" s="28">
        <f t="shared" si="7"/>
        <v>5.9738882366536697E-2</v>
      </c>
    </row>
    <row r="27" spans="1:22" x14ac:dyDescent="0.25">
      <c r="A27" s="16" t="s">
        <v>169</v>
      </c>
      <c r="B27" s="27">
        <v>0.59560000000000002</v>
      </c>
      <c r="C27" s="27"/>
      <c r="D27" s="28">
        <f t="shared" si="8"/>
        <v>23.296844816484217</v>
      </c>
      <c r="E27" s="28">
        <f t="shared" si="9"/>
        <v>0.46593689632968432</v>
      </c>
      <c r="F27" s="28">
        <f>E27/0.32</f>
        <v>1.4560528010302636</v>
      </c>
      <c r="G27" s="16" t="s">
        <v>169</v>
      </c>
      <c r="H27" s="27">
        <v>0.70409999999999995</v>
      </c>
      <c r="I27" s="27"/>
      <c r="J27" s="28">
        <f t="shared" si="10"/>
        <v>28.517766497461931</v>
      </c>
      <c r="K27" s="28">
        <f t="shared" si="11"/>
        <v>0.57035532994923865</v>
      </c>
      <c r="L27" s="28">
        <f>K27/0.38</f>
        <v>1.5009350788137859</v>
      </c>
      <c r="M27" s="16" t="s">
        <v>169</v>
      </c>
      <c r="N27" s="27">
        <v>0.5867</v>
      </c>
      <c r="O27" s="27"/>
      <c r="P27" s="28">
        <f t="shared" si="12"/>
        <v>23.206806282722514</v>
      </c>
      <c r="Q27" s="28">
        <f t="shared" si="13"/>
        <v>0.46413612565445028</v>
      </c>
      <c r="R27" s="28">
        <f>Q27/0.3</f>
        <v>1.5471204188481678</v>
      </c>
      <c r="T27" s="16" t="s">
        <v>169</v>
      </c>
      <c r="U27" s="28">
        <f t="shared" si="6"/>
        <v>1.5013694328974057</v>
      </c>
      <c r="V27" s="28">
        <f t="shared" si="7"/>
        <v>4.5535362646622599E-2</v>
      </c>
    </row>
    <row r="28" spans="1:22" x14ac:dyDescent="0.25">
      <c r="A28" s="17" t="s">
        <v>170</v>
      </c>
      <c r="B28" s="27">
        <v>0.38869999999999999</v>
      </c>
      <c r="C28" s="27"/>
      <c r="D28" s="28">
        <f t="shared" si="8"/>
        <v>49.942047649710233</v>
      </c>
      <c r="E28" s="28">
        <f t="shared" si="9"/>
        <v>0.99884095299420461</v>
      </c>
      <c r="F28" s="28">
        <f>E28/0.48</f>
        <v>2.0809186520712597</v>
      </c>
      <c r="G28" s="17" t="s">
        <v>170</v>
      </c>
      <c r="H28" s="27">
        <v>0.41670000000000001</v>
      </c>
      <c r="I28" s="27"/>
      <c r="J28" s="28">
        <f t="shared" si="10"/>
        <v>57.695431472081225</v>
      </c>
      <c r="K28" s="28">
        <f t="shared" si="11"/>
        <v>1.1539086294416245</v>
      </c>
      <c r="L28" s="28">
        <f>K28/0.51</f>
        <v>2.2625659400816165</v>
      </c>
      <c r="M28" s="17" t="s">
        <v>170</v>
      </c>
      <c r="N28" s="27">
        <v>0.38890000000000002</v>
      </c>
      <c r="O28" s="27"/>
      <c r="P28" s="28">
        <f t="shared" si="12"/>
        <v>49.096858638743448</v>
      </c>
      <c r="Q28" s="28">
        <f t="shared" si="13"/>
        <v>0.98193717277486892</v>
      </c>
      <c r="R28" s="28">
        <f>Q28/0.46</f>
        <v>2.1346460277714541</v>
      </c>
      <c r="T28" s="17" t="s">
        <v>170</v>
      </c>
      <c r="U28" s="28">
        <f t="shared" si="6"/>
        <v>2.1593768733081102</v>
      </c>
      <c r="V28" s="28">
        <f t="shared" si="7"/>
        <v>9.3314764914764856E-2</v>
      </c>
    </row>
    <row r="29" spans="1:22" x14ac:dyDescent="0.25">
      <c r="A29" s="17" t="s">
        <v>171</v>
      </c>
      <c r="B29" s="27">
        <v>0.44040000000000001</v>
      </c>
      <c r="C29" s="27"/>
      <c r="D29" s="28">
        <f t="shared" si="8"/>
        <v>43.283966516419831</v>
      </c>
      <c r="E29" s="28">
        <f t="shared" si="9"/>
        <v>0.86567933032839661</v>
      </c>
      <c r="F29" s="28">
        <f>E29/0.35</f>
        <v>2.4733695152239905</v>
      </c>
      <c r="G29" s="17" t="s">
        <v>171</v>
      </c>
      <c r="H29" s="27">
        <v>0.59260000000000002</v>
      </c>
      <c r="I29" s="27"/>
      <c r="J29" s="28">
        <f t="shared" si="10"/>
        <v>39.837563451776646</v>
      </c>
      <c r="K29" s="28">
        <f t="shared" si="11"/>
        <v>0.79675126903553295</v>
      </c>
      <c r="L29" s="28">
        <f>K29/0.34</f>
        <v>2.3433860853986261</v>
      </c>
      <c r="M29" s="17" t="s">
        <v>171</v>
      </c>
      <c r="N29" s="27">
        <v>0.36759999999999998</v>
      </c>
      <c r="O29" s="27"/>
      <c r="P29" s="28">
        <f t="shared" si="12"/>
        <v>51.884816753926714</v>
      </c>
      <c r="Q29" s="28">
        <f t="shared" si="13"/>
        <v>1.0376963350785342</v>
      </c>
      <c r="R29" s="28">
        <f>Q29/0.44</f>
        <v>2.3584007615421232</v>
      </c>
      <c r="T29" s="17" t="s">
        <v>171</v>
      </c>
      <c r="U29" s="28">
        <f t="shared" si="6"/>
        <v>2.3917187873882466</v>
      </c>
      <c r="V29" s="28">
        <f t="shared" si="7"/>
        <v>7.110900886669401E-2</v>
      </c>
    </row>
    <row r="30" spans="1:22" x14ac:dyDescent="0.25">
      <c r="A30" s="17" t="s">
        <v>172</v>
      </c>
      <c r="B30" s="27">
        <v>0.56479999999999997</v>
      </c>
      <c r="C30" s="27"/>
      <c r="D30" s="28">
        <f t="shared" si="8"/>
        <v>27.263361236316808</v>
      </c>
      <c r="E30" s="28">
        <f t="shared" si="9"/>
        <v>0.54526722472633615</v>
      </c>
      <c r="F30" s="28">
        <f>E30/0.14</f>
        <v>3.8947658909024008</v>
      </c>
      <c r="G30" s="17" t="s">
        <v>172</v>
      </c>
      <c r="H30" s="27">
        <v>0.7167</v>
      </c>
      <c r="I30" s="27"/>
      <c r="J30" s="28">
        <f t="shared" si="10"/>
        <v>27.238578680203045</v>
      </c>
      <c r="K30" s="28">
        <f t="shared" si="11"/>
        <v>0.54477157360406092</v>
      </c>
      <c r="L30" s="28">
        <f>K30/0.14</f>
        <v>3.8912255257432919</v>
      </c>
      <c r="M30" s="17" t="s">
        <v>172</v>
      </c>
      <c r="N30" s="27">
        <v>0.50460000000000005</v>
      </c>
      <c r="O30" s="27"/>
      <c r="P30" s="28">
        <f t="shared" si="12"/>
        <v>33.952879581151826</v>
      </c>
      <c r="Q30" s="28">
        <f t="shared" si="13"/>
        <v>0.67905759162303658</v>
      </c>
      <c r="R30" s="28">
        <f>Q30/0.17</f>
        <v>3.9944564213119795</v>
      </c>
      <c r="T30" s="17" t="s">
        <v>172</v>
      </c>
      <c r="U30" s="28">
        <f t="shared" si="6"/>
        <v>3.9268159459858913</v>
      </c>
      <c r="V30" s="28">
        <f t="shared" si="7"/>
        <v>5.8605110469304438E-2</v>
      </c>
    </row>
    <row r="31" spans="1:22" x14ac:dyDescent="0.25">
      <c r="A31" s="17" t="s">
        <v>173</v>
      </c>
      <c r="B31" s="27">
        <v>0.39389999999999997</v>
      </c>
      <c r="C31" s="27"/>
      <c r="D31" s="28">
        <f t="shared" si="8"/>
        <v>49.272376046361885</v>
      </c>
      <c r="E31" s="28">
        <f t="shared" si="9"/>
        <v>0.98544752092723764</v>
      </c>
      <c r="F31" s="28">
        <f>E31/0.18</f>
        <v>5.4747084495957647</v>
      </c>
      <c r="G31" s="17" t="s">
        <v>173</v>
      </c>
      <c r="H31" s="27">
        <v>0.68440000000000001</v>
      </c>
      <c r="I31" s="27"/>
      <c r="J31" s="28">
        <f t="shared" si="10"/>
        <v>30.517766497461928</v>
      </c>
      <c r="K31" s="28">
        <f t="shared" si="11"/>
        <v>0.61035532994923858</v>
      </c>
      <c r="L31" s="28">
        <f>K31/0.11</f>
        <v>5.5486848177203507</v>
      </c>
      <c r="M31" s="17" t="s">
        <v>173</v>
      </c>
      <c r="N31" s="27">
        <v>0.52610000000000001</v>
      </c>
      <c r="O31" s="27"/>
      <c r="P31" s="28">
        <f t="shared" si="12"/>
        <v>31.13874345549738</v>
      </c>
      <c r="Q31" s="28">
        <f t="shared" si="13"/>
        <v>0.62277486910994762</v>
      </c>
      <c r="R31" s="28">
        <f>Q31/0.11</f>
        <v>5.6615897191813422</v>
      </c>
      <c r="T31" s="17" t="s">
        <v>173</v>
      </c>
      <c r="U31" s="28">
        <f t="shared" si="6"/>
        <v>5.5616609954991532</v>
      </c>
      <c r="V31" s="28">
        <f t="shared" si="7"/>
        <v>9.4113963484647831E-2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7E7EB-8CE7-46DB-BF11-3C9FF8A89B43}">
  <dimension ref="A1:Z31"/>
  <sheetViews>
    <sheetView zoomScale="70" workbookViewId="0">
      <selection activeCell="G42" sqref="G42"/>
    </sheetView>
  </sheetViews>
  <sheetFormatPr defaultColWidth="8.85546875" defaultRowHeight="15" x14ac:dyDescent="0.25"/>
  <cols>
    <col min="1" max="1" width="34.5703125" style="32" customWidth="1"/>
    <col min="2" max="9" width="8.85546875" style="32"/>
    <col min="10" max="10" width="37.140625" style="32" customWidth="1"/>
    <col min="11" max="18" width="8.85546875" style="32"/>
    <col min="19" max="19" width="34.7109375" style="32" customWidth="1"/>
    <col min="20" max="16384" width="8.85546875" style="32"/>
  </cols>
  <sheetData>
    <row r="1" spans="1:26" ht="13.9" x14ac:dyDescent="0.25">
      <c r="A1" s="48"/>
      <c r="B1" s="27" t="s">
        <v>32</v>
      </c>
      <c r="C1" s="27" t="s">
        <v>33</v>
      </c>
      <c r="D1" s="4" t="s">
        <v>34</v>
      </c>
      <c r="E1" s="4" t="s">
        <v>35</v>
      </c>
      <c r="F1" s="4" t="s">
        <v>315</v>
      </c>
      <c r="G1" s="4"/>
      <c r="H1" s="5" t="s">
        <v>334</v>
      </c>
      <c r="J1" s="48"/>
      <c r="K1" s="27" t="s">
        <v>32</v>
      </c>
      <c r="L1" s="27" t="s">
        <v>33</v>
      </c>
      <c r="M1" s="4" t="s">
        <v>34</v>
      </c>
      <c r="N1" s="4" t="s">
        <v>35</v>
      </c>
      <c r="O1" s="4" t="s">
        <v>315</v>
      </c>
      <c r="P1" s="4"/>
      <c r="Q1" s="5" t="s">
        <v>334</v>
      </c>
      <c r="S1" s="48"/>
      <c r="T1" s="27" t="s">
        <v>32</v>
      </c>
      <c r="U1" s="27" t="s">
        <v>33</v>
      </c>
      <c r="V1" s="4" t="s">
        <v>34</v>
      </c>
      <c r="W1" s="4" t="s">
        <v>35</v>
      </c>
      <c r="X1" s="4" t="s">
        <v>315</v>
      </c>
      <c r="Y1" s="4"/>
      <c r="Z1" s="5" t="s">
        <v>334</v>
      </c>
    </row>
    <row r="2" spans="1:26" ht="13.9" x14ac:dyDescent="0.25">
      <c r="A2" s="18" t="s">
        <v>293</v>
      </c>
      <c r="B2" s="4">
        <v>0.76100000000000001</v>
      </c>
      <c r="C2" s="4">
        <v>0.69499999999999995</v>
      </c>
      <c r="D2" s="4">
        <f>B2-0.459</f>
        <v>0.30199999999999999</v>
      </c>
      <c r="E2" s="4">
        <f>C2-0.459</f>
        <v>0.23599999999999993</v>
      </c>
      <c r="F2" s="33">
        <f>(D2+0.0007)/0.3084</f>
        <v>0.9815175097276263</v>
      </c>
      <c r="G2" s="33">
        <f>(E2+0.0007)/0.3084</f>
        <v>0.76750972762645897</v>
      </c>
      <c r="H2" s="51">
        <f>AVERAGE(F2:G2)</f>
        <v>0.87451361867704258</v>
      </c>
      <c r="J2" s="18" t="s">
        <v>25</v>
      </c>
      <c r="K2" s="4">
        <v>0.66800000000000004</v>
      </c>
      <c r="L2" s="4">
        <v>0.64800000000000002</v>
      </c>
      <c r="M2" s="4">
        <f>K2-0.399</f>
        <v>0.26900000000000002</v>
      </c>
      <c r="N2" s="4">
        <f>L2-0.399</f>
        <v>0.249</v>
      </c>
      <c r="O2" s="33">
        <f>(M2+0.0007)/0.3084</f>
        <v>0.8745136186770428</v>
      </c>
      <c r="P2" s="33">
        <f>(N2+0.0007)/0.3084</f>
        <v>0.80966277561608302</v>
      </c>
      <c r="Q2" s="51">
        <f>AVERAGE(O2:P2)</f>
        <v>0.84208819714656291</v>
      </c>
      <c r="S2" s="18" t="s">
        <v>25</v>
      </c>
      <c r="T2" s="12">
        <v>0.63</v>
      </c>
      <c r="U2" s="12">
        <v>0.64600000000000002</v>
      </c>
      <c r="V2" s="4">
        <f>T2-0.369</f>
        <v>0.26100000000000001</v>
      </c>
      <c r="W2" s="4">
        <f>U2-0.369</f>
        <v>0.27700000000000002</v>
      </c>
      <c r="X2" s="33">
        <f>(V2+0.0007)/0.3084</f>
        <v>0.84857328145265887</v>
      </c>
      <c r="Y2" s="33">
        <f>(W2+0.0007)/0.3084</f>
        <v>0.90045395590142674</v>
      </c>
      <c r="Z2" s="51">
        <f>AVERAGE(X2:Y2)</f>
        <v>0.8745136186770428</v>
      </c>
    </row>
    <row r="3" spans="1:26" ht="13.9" x14ac:dyDescent="0.25">
      <c r="A3" s="15" t="s">
        <v>147</v>
      </c>
      <c r="B3" s="4">
        <v>0.69499999999999995</v>
      </c>
      <c r="C3" s="4">
        <v>0.68100000000000005</v>
      </c>
      <c r="D3" s="4">
        <f t="shared" ref="D3:E16" si="0">B3-0.459</f>
        <v>0.23599999999999993</v>
      </c>
      <c r="E3" s="4">
        <f t="shared" si="0"/>
        <v>0.22200000000000003</v>
      </c>
      <c r="F3" s="33">
        <f t="shared" ref="F3:G31" si="1">(D3+0.0007)/0.3084</f>
        <v>0.76750972762645897</v>
      </c>
      <c r="G3" s="33">
        <f t="shared" si="1"/>
        <v>0.72211413748378739</v>
      </c>
      <c r="H3" s="51">
        <f t="shared" ref="H3:H16" si="2">AVERAGE(F3:G3)</f>
        <v>0.74481193255512324</v>
      </c>
      <c r="J3" s="15" t="s">
        <v>147</v>
      </c>
      <c r="K3" s="12">
        <v>0.64300000000000002</v>
      </c>
      <c r="L3" s="12">
        <v>0.56399999999999995</v>
      </c>
      <c r="M3" s="4">
        <f t="shared" ref="M3:N31" si="3">K3-0.399</f>
        <v>0.24399999999999999</v>
      </c>
      <c r="N3" s="4">
        <f t="shared" si="3"/>
        <v>0.16499999999999992</v>
      </c>
      <c r="O3" s="33">
        <f t="shared" ref="O3:P31" si="4">(M3+0.0007)/0.3084</f>
        <v>0.79345006485084302</v>
      </c>
      <c r="P3" s="33">
        <f t="shared" si="4"/>
        <v>0.53728923476005164</v>
      </c>
      <c r="Q3" s="51">
        <f t="shared" ref="Q3:Q31" si="5">AVERAGE(O3:P3)</f>
        <v>0.66536964980544733</v>
      </c>
      <c r="S3" s="15" t="s">
        <v>147</v>
      </c>
      <c r="T3" s="12">
        <v>0.57699999999999996</v>
      </c>
      <c r="U3" s="12">
        <v>0.58099999999999996</v>
      </c>
      <c r="V3" s="4">
        <f t="shared" ref="V3:W16" si="6">T3-0.369</f>
        <v>0.20799999999999996</v>
      </c>
      <c r="W3" s="4">
        <f t="shared" si="6"/>
        <v>0.21199999999999997</v>
      </c>
      <c r="X3" s="33">
        <f t="shared" ref="X3:Y31" si="7">(V3+0.0007)/0.3084</f>
        <v>0.67671854734111536</v>
      </c>
      <c r="Y3" s="33">
        <f t="shared" si="7"/>
        <v>0.68968871595330727</v>
      </c>
      <c r="Z3" s="51">
        <f t="shared" ref="Z3:Z31" si="8">AVERAGE(X3:Y3)</f>
        <v>0.68320363164721132</v>
      </c>
    </row>
    <row r="4" spans="1:26" ht="13.9" x14ac:dyDescent="0.25">
      <c r="A4" s="15" t="s">
        <v>148</v>
      </c>
      <c r="B4" s="4">
        <v>0.621</v>
      </c>
      <c r="C4" s="4">
        <v>0.61499999999999999</v>
      </c>
      <c r="D4" s="4">
        <f t="shared" si="0"/>
        <v>0.16199999999999998</v>
      </c>
      <c r="E4" s="4">
        <f t="shared" si="0"/>
        <v>0.15599999999999997</v>
      </c>
      <c r="F4" s="33">
        <f t="shared" si="1"/>
        <v>0.52756160830090781</v>
      </c>
      <c r="G4" s="33">
        <f t="shared" si="1"/>
        <v>0.50810635538261995</v>
      </c>
      <c r="H4" s="51">
        <f t="shared" si="2"/>
        <v>0.51783398184176388</v>
      </c>
      <c r="J4" s="15" t="s">
        <v>148</v>
      </c>
      <c r="K4" s="4">
        <v>0.66200000000000003</v>
      </c>
      <c r="L4" s="4">
        <v>0.64900000000000002</v>
      </c>
      <c r="M4" s="4">
        <f t="shared" si="3"/>
        <v>0.26300000000000001</v>
      </c>
      <c r="N4" s="4">
        <f t="shared" si="3"/>
        <v>0.25</v>
      </c>
      <c r="O4" s="33">
        <f t="shared" si="4"/>
        <v>0.85505836575875482</v>
      </c>
      <c r="P4" s="33">
        <f t="shared" si="4"/>
        <v>0.81290531776913089</v>
      </c>
      <c r="Q4" s="51">
        <f t="shared" si="5"/>
        <v>0.83398184176394285</v>
      </c>
      <c r="S4" s="15" t="s">
        <v>148</v>
      </c>
      <c r="T4" s="12">
        <v>0.53100000000000003</v>
      </c>
      <c r="U4" s="12">
        <v>0.51600000000000001</v>
      </c>
      <c r="V4" s="4">
        <f t="shared" si="6"/>
        <v>0.16200000000000003</v>
      </c>
      <c r="W4" s="4">
        <f t="shared" si="6"/>
        <v>0.14700000000000002</v>
      </c>
      <c r="X4" s="33">
        <f t="shared" si="7"/>
        <v>0.52756160830090804</v>
      </c>
      <c r="Y4" s="33">
        <f t="shared" si="7"/>
        <v>0.47892347600518814</v>
      </c>
      <c r="Z4" s="51">
        <f t="shared" si="8"/>
        <v>0.50324254215304809</v>
      </c>
    </row>
    <row r="5" spans="1:26" ht="13.9" x14ac:dyDescent="0.25">
      <c r="A5" s="16" t="s">
        <v>29</v>
      </c>
      <c r="B5" s="4">
        <v>0.61</v>
      </c>
      <c r="C5" s="4">
        <v>0.70099999999999996</v>
      </c>
      <c r="D5" s="4">
        <f t="shared" si="0"/>
        <v>0.15099999999999997</v>
      </c>
      <c r="E5" s="4">
        <f t="shared" si="0"/>
        <v>0.24199999999999994</v>
      </c>
      <c r="F5" s="33">
        <f t="shared" si="1"/>
        <v>0.49189364461737994</v>
      </c>
      <c r="G5" s="33">
        <f t="shared" si="1"/>
        <v>0.78696498054474684</v>
      </c>
      <c r="H5" s="51">
        <f t="shared" si="2"/>
        <v>0.63942931258106339</v>
      </c>
      <c r="J5" s="16" t="s">
        <v>29</v>
      </c>
      <c r="K5" s="4">
        <v>0.64200000000000002</v>
      </c>
      <c r="L5" s="4">
        <v>0.64200000000000002</v>
      </c>
      <c r="M5" s="4">
        <f t="shared" si="3"/>
        <v>0.24299999999999999</v>
      </c>
      <c r="N5" s="4">
        <f t="shared" si="3"/>
        <v>0.24299999999999999</v>
      </c>
      <c r="O5" s="33">
        <f t="shared" si="4"/>
        <v>0.79020752269779504</v>
      </c>
      <c r="P5" s="33">
        <f t="shared" si="4"/>
        <v>0.79020752269779504</v>
      </c>
      <c r="Q5" s="51">
        <f t="shared" si="5"/>
        <v>0.79020752269779504</v>
      </c>
      <c r="S5" s="16" t="s">
        <v>29</v>
      </c>
      <c r="T5" s="4">
        <v>0.53200000000000003</v>
      </c>
      <c r="U5" s="4">
        <v>0.52200000000000002</v>
      </c>
      <c r="V5" s="4">
        <f t="shared" si="6"/>
        <v>0.16300000000000003</v>
      </c>
      <c r="W5" s="4">
        <f t="shared" si="6"/>
        <v>0.15300000000000002</v>
      </c>
      <c r="X5" s="33">
        <f t="shared" si="7"/>
        <v>0.53080415045395601</v>
      </c>
      <c r="Y5" s="33">
        <f t="shared" si="7"/>
        <v>0.49837872892347607</v>
      </c>
      <c r="Z5" s="51">
        <f t="shared" si="8"/>
        <v>0.51459143968871601</v>
      </c>
    </row>
    <row r="6" spans="1:26" ht="13.9" x14ac:dyDescent="0.25">
      <c r="A6" s="16" t="s">
        <v>30</v>
      </c>
      <c r="B6" s="4">
        <v>0.68500000000000005</v>
      </c>
      <c r="C6" s="4">
        <v>0.71599999999999997</v>
      </c>
      <c r="D6" s="4">
        <f t="shared" si="0"/>
        <v>0.22600000000000003</v>
      </c>
      <c r="E6" s="4">
        <f t="shared" si="0"/>
        <v>0.25699999999999995</v>
      </c>
      <c r="F6" s="33">
        <f t="shared" si="1"/>
        <v>0.73508430609597941</v>
      </c>
      <c r="G6" s="33">
        <f t="shared" si="1"/>
        <v>0.83560311284046662</v>
      </c>
      <c r="H6" s="51">
        <f t="shared" si="2"/>
        <v>0.78534370946822296</v>
      </c>
      <c r="J6" s="16" t="s">
        <v>30</v>
      </c>
      <c r="K6" s="4">
        <v>0.65100000000000002</v>
      </c>
      <c r="L6" s="4">
        <v>0.59799999999999998</v>
      </c>
      <c r="M6" s="4">
        <f t="shared" si="3"/>
        <v>0.252</v>
      </c>
      <c r="N6" s="4">
        <f t="shared" si="3"/>
        <v>0.19899999999999995</v>
      </c>
      <c r="O6" s="33">
        <f t="shared" si="4"/>
        <v>0.81939040207522684</v>
      </c>
      <c r="P6" s="33">
        <f t="shared" si="4"/>
        <v>0.64753566796368334</v>
      </c>
      <c r="Q6" s="51">
        <f t="shared" si="5"/>
        <v>0.73346303501945509</v>
      </c>
      <c r="S6" s="16" t="s">
        <v>30</v>
      </c>
      <c r="T6" s="12">
        <v>0.56399999999999995</v>
      </c>
      <c r="U6" s="12">
        <v>0.59399999999999997</v>
      </c>
      <c r="V6" s="4">
        <f t="shared" si="6"/>
        <v>0.19499999999999995</v>
      </c>
      <c r="W6" s="4">
        <f t="shared" si="6"/>
        <v>0.22499999999999998</v>
      </c>
      <c r="X6" s="33">
        <f t="shared" si="7"/>
        <v>0.63456549935149142</v>
      </c>
      <c r="Y6" s="33">
        <f t="shared" si="7"/>
        <v>0.73184176394293121</v>
      </c>
      <c r="Z6" s="51">
        <f t="shared" si="8"/>
        <v>0.68320363164721132</v>
      </c>
    </row>
    <row r="7" spans="1:26" ht="13.9" x14ac:dyDescent="0.25">
      <c r="A7" s="17" t="s">
        <v>149</v>
      </c>
      <c r="B7" s="4">
        <v>0.67900000000000005</v>
      </c>
      <c r="C7" s="4">
        <v>0.71799999999999997</v>
      </c>
      <c r="D7" s="4">
        <f t="shared" si="0"/>
        <v>0.22000000000000003</v>
      </c>
      <c r="E7" s="4">
        <f t="shared" si="0"/>
        <v>0.25899999999999995</v>
      </c>
      <c r="F7" s="33">
        <f t="shared" si="1"/>
        <v>0.71562905317769143</v>
      </c>
      <c r="G7" s="33">
        <f t="shared" si="1"/>
        <v>0.84208819714656269</v>
      </c>
      <c r="H7" s="51">
        <f t="shared" si="2"/>
        <v>0.77885862516212701</v>
      </c>
      <c r="J7" s="17" t="s">
        <v>149</v>
      </c>
      <c r="K7" s="4">
        <v>0.59199999999999997</v>
      </c>
      <c r="L7" s="4">
        <v>0.58399999999999996</v>
      </c>
      <c r="M7" s="4">
        <f t="shared" si="3"/>
        <v>0.19299999999999995</v>
      </c>
      <c r="N7" s="4">
        <f t="shared" si="3"/>
        <v>0.18499999999999994</v>
      </c>
      <c r="O7" s="33">
        <f t="shared" si="4"/>
        <v>0.62808041504539547</v>
      </c>
      <c r="P7" s="33">
        <f t="shared" si="4"/>
        <v>0.60214007782101153</v>
      </c>
      <c r="Q7" s="51">
        <f t="shared" si="5"/>
        <v>0.61511024643320344</v>
      </c>
      <c r="S7" s="17" t="s">
        <v>149</v>
      </c>
      <c r="T7" s="12">
        <v>0.58599999999999997</v>
      </c>
      <c r="U7" s="12">
        <v>0.58899999999999997</v>
      </c>
      <c r="V7" s="4">
        <f t="shared" si="6"/>
        <v>0.21699999999999997</v>
      </c>
      <c r="W7" s="4">
        <f t="shared" si="6"/>
        <v>0.21999999999999997</v>
      </c>
      <c r="X7" s="33">
        <f t="shared" si="7"/>
        <v>0.70590142671854728</v>
      </c>
      <c r="Y7" s="33">
        <f t="shared" si="7"/>
        <v>0.71562905317769121</v>
      </c>
      <c r="Z7" s="51">
        <f t="shared" si="8"/>
        <v>0.71076523994811924</v>
      </c>
    </row>
    <row r="8" spans="1:26" ht="13.9" x14ac:dyDescent="0.25">
      <c r="A8" s="17" t="s">
        <v>150</v>
      </c>
      <c r="B8" s="4">
        <v>0.60499999999999998</v>
      </c>
      <c r="C8" s="4">
        <v>0.51800000000000002</v>
      </c>
      <c r="D8" s="4">
        <f t="shared" si="0"/>
        <v>0.14599999999999996</v>
      </c>
      <c r="E8" s="4">
        <f t="shared" si="0"/>
        <v>5.8999999999999997E-2</v>
      </c>
      <c r="F8" s="33">
        <f t="shared" si="1"/>
        <v>0.47568093385213994</v>
      </c>
      <c r="G8" s="33">
        <f t="shared" si="1"/>
        <v>0.19357976653696496</v>
      </c>
      <c r="H8" s="51">
        <f t="shared" si="2"/>
        <v>0.33463035019455245</v>
      </c>
      <c r="J8" s="17" t="s">
        <v>150</v>
      </c>
      <c r="K8" s="4">
        <v>0.502</v>
      </c>
      <c r="L8" s="4">
        <v>0.501</v>
      </c>
      <c r="M8" s="4">
        <f t="shared" si="3"/>
        <v>0.10299999999999998</v>
      </c>
      <c r="N8" s="4">
        <f t="shared" si="3"/>
        <v>0.10199999999999998</v>
      </c>
      <c r="O8" s="33">
        <f t="shared" si="4"/>
        <v>0.3362516212710765</v>
      </c>
      <c r="P8" s="33">
        <f t="shared" si="4"/>
        <v>0.33300907911802846</v>
      </c>
      <c r="Q8" s="51">
        <f t="shared" si="5"/>
        <v>0.33463035019455245</v>
      </c>
      <c r="S8" s="17" t="s">
        <v>150</v>
      </c>
      <c r="T8" s="12">
        <v>0.51600000000000001</v>
      </c>
      <c r="U8" s="12">
        <v>0.45600000000000002</v>
      </c>
      <c r="V8" s="12">
        <f t="shared" si="6"/>
        <v>0.14700000000000002</v>
      </c>
      <c r="W8" s="12">
        <f t="shared" si="6"/>
        <v>8.7000000000000022E-2</v>
      </c>
      <c r="X8" s="33">
        <f t="shared" si="7"/>
        <v>0.47892347600518814</v>
      </c>
      <c r="Y8" s="33">
        <f t="shared" si="7"/>
        <v>0.28437094682230879</v>
      </c>
      <c r="Z8" s="51">
        <f t="shared" si="8"/>
        <v>0.38164721141374847</v>
      </c>
    </row>
    <row r="9" spans="1:26" ht="13.9" x14ac:dyDescent="0.25">
      <c r="A9" s="16" t="s">
        <v>151</v>
      </c>
      <c r="B9" s="4">
        <v>0.67200000000000004</v>
      </c>
      <c r="C9" s="4">
        <v>0.63700000000000001</v>
      </c>
      <c r="D9" s="4">
        <f t="shared" si="0"/>
        <v>0.21300000000000002</v>
      </c>
      <c r="E9" s="4">
        <f t="shared" si="0"/>
        <v>0.17799999999999999</v>
      </c>
      <c r="F9" s="33">
        <f t="shared" si="1"/>
        <v>0.69293125810635547</v>
      </c>
      <c r="G9" s="33">
        <f t="shared" si="1"/>
        <v>0.57944228274967569</v>
      </c>
      <c r="H9" s="51">
        <f t="shared" si="2"/>
        <v>0.63618677042801552</v>
      </c>
      <c r="J9" s="16" t="s">
        <v>151</v>
      </c>
      <c r="K9" s="4">
        <v>0.61899999999999999</v>
      </c>
      <c r="L9" s="4">
        <v>0.54600000000000004</v>
      </c>
      <c r="M9" s="4">
        <f t="shared" si="3"/>
        <v>0.21999999999999997</v>
      </c>
      <c r="N9" s="4">
        <f t="shared" si="3"/>
        <v>0.14700000000000002</v>
      </c>
      <c r="O9" s="33">
        <f t="shared" si="4"/>
        <v>0.71562905317769121</v>
      </c>
      <c r="P9" s="33">
        <f t="shared" si="4"/>
        <v>0.47892347600518814</v>
      </c>
      <c r="Q9" s="51">
        <f t="shared" si="5"/>
        <v>0.59727626459143968</v>
      </c>
      <c r="S9" s="16" t="s">
        <v>151</v>
      </c>
      <c r="T9" s="12">
        <v>0.55100000000000005</v>
      </c>
      <c r="U9" s="12">
        <v>0.55400000000000005</v>
      </c>
      <c r="V9" s="12">
        <f t="shared" si="6"/>
        <v>0.18200000000000005</v>
      </c>
      <c r="W9" s="12">
        <f t="shared" si="6"/>
        <v>0.18500000000000005</v>
      </c>
      <c r="X9" s="33">
        <f t="shared" si="7"/>
        <v>0.59241245136186782</v>
      </c>
      <c r="Y9" s="33">
        <f t="shared" si="7"/>
        <v>0.60214007782101187</v>
      </c>
      <c r="Z9" s="51">
        <f t="shared" si="8"/>
        <v>0.59727626459143979</v>
      </c>
    </row>
    <row r="10" spans="1:26" ht="13.9" x14ac:dyDescent="0.25">
      <c r="A10" s="16" t="s">
        <v>152</v>
      </c>
      <c r="B10" s="4">
        <v>0.70399999999999996</v>
      </c>
      <c r="C10" s="4">
        <v>0.63300000000000001</v>
      </c>
      <c r="D10" s="4">
        <f t="shared" si="0"/>
        <v>0.24499999999999994</v>
      </c>
      <c r="E10" s="4">
        <f t="shared" si="0"/>
        <v>0.17399999999999999</v>
      </c>
      <c r="F10" s="33">
        <f t="shared" si="1"/>
        <v>0.79669260700389088</v>
      </c>
      <c r="G10" s="33">
        <f t="shared" si="1"/>
        <v>0.56647211413748377</v>
      </c>
      <c r="H10" s="51">
        <f t="shared" si="2"/>
        <v>0.68158236057068733</v>
      </c>
      <c r="J10" s="16" t="s">
        <v>152</v>
      </c>
      <c r="K10" s="4">
        <v>0.58499999999999996</v>
      </c>
      <c r="L10" s="4">
        <v>0.56999999999999995</v>
      </c>
      <c r="M10" s="4">
        <f t="shared" si="3"/>
        <v>0.18599999999999994</v>
      </c>
      <c r="N10" s="4">
        <f t="shared" si="3"/>
        <v>0.17099999999999993</v>
      </c>
      <c r="O10" s="33">
        <f t="shared" si="4"/>
        <v>0.60538261997405951</v>
      </c>
      <c r="P10" s="33">
        <f t="shared" si="4"/>
        <v>0.55674448767833962</v>
      </c>
      <c r="Q10" s="51">
        <f t="shared" si="5"/>
        <v>0.58106355382619956</v>
      </c>
      <c r="S10" s="16" t="s">
        <v>152</v>
      </c>
      <c r="T10" s="4">
        <v>0.58099999999999996</v>
      </c>
      <c r="U10" s="4">
        <v>0.52</v>
      </c>
      <c r="V10" s="4">
        <f t="shared" si="6"/>
        <v>0.21199999999999997</v>
      </c>
      <c r="W10" s="4">
        <f t="shared" si="6"/>
        <v>0.15100000000000002</v>
      </c>
      <c r="X10" s="33">
        <f t="shared" si="7"/>
        <v>0.68968871595330727</v>
      </c>
      <c r="Y10" s="33">
        <f t="shared" si="7"/>
        <v>0.49189364461738011</v>
      </c>
      <c r="Z10" s="51">
        <f t="shared" si="8"/>
        <v>0.59079118028534372</v>
      </c>
    </row>
    <row r="11" spans="1:26" ht="13.9" x14ac:dyDescent="0.25">
      <c r="A11" s="16" t="s">
        <v>153</v>
      </c>
      <c r="B11" s="4">
        <v>0.56399999999999995</v>
      </c>
      <c r="C11" s="4">
        <v>0.58199999999999996</v>
      </c>
      <c r="D11" s="4">
        <f t="shared" si="0"/>
        <v>0.10499999999999993</v>
      </c>
      <c r="E11" s="4">
        <f t="shared" si="0"/>
        <v>0.12299999999999994</v>
      </c>
      <c r="F11" s="33">
        <f t="shared" si="1"/>
        <v>0.34273670557717228</v>
      </c>
      <c r="G11" s="33">
        <f t="shared" si="1"/>
        <v>0.40110246433203617</v>
      </c>
      <c r="H11" s="51">
        <f t="shared" si="2"/>
        <v>0.3719195849546042</v>
      </c>
      <c r="J11" s="16" t="s">
        <v>153</v>
      </c>
      <c r="K11" s="4">
        <v>0.55100000000000005</v>
      </c>
      <c r="L11" s="4">
        <v>0.51</v>
      </c>
      <c r="M11" s="4">
        <f t="shared" si="3"/>
        <v>0.15200000000000002</v>
      </c>
      <c r="N11" s="4">
        <f t="shared" si="3"/>
        <v>0.11099999999999999</v>
      </c>
      <c r="O11" s="33">
        <f t="shared" si="4"/>
        <v>0.49513618677042809</v>
      </c>
      <c r="P11" s="33">
        <f t="shared" si="4"/>
        <v>0.36219195849546043</v>
      </c>
      <c r="Q11" s="51">
        <f t="shared" si="5"/>
        <v>0.42866407263294426</v>
      </c>
      <c r="S11" s="16" t="s">
        <v>153</v>
      </c>
      <c r="T11" s="4">
        <v>0.55600000000000005</v>
      </c>
      <c r="U11" s="4">
        <v>0.45800000000000002</v>
      </c>
      <c r="V11" s="4">
        <f t="shared" si="6"/>
        <v>0.18700000000000006</v>
      </c>
      <c r="W11" s="4">
        <f t="shared" si="6"/>
        <v>8.9000000000000024E-2</v>
      </c>
      <c r="X11" s="33">
        <f t="shared" si="7"/>
        <v>0.60862516212710782</v>
      </c>
      <c r="Y11" s="33">
        <f t="shared" si="7"/>
        <v>0.29085603112840475</v>
      </c>
      <c r="Z11" s="51">
        <f t="shared" si="8"/>
        <v>0.44974059662775628</v>
      </c>
    </row>
    <row r="12" spans="1:26" ht="13.9" x14ac:dyDescent="0.25">
      <c r="A12" s="16" t="s">
        <v>154</v>
      </c>
      <c r="B12" s="4">
        <v>0.57099999999999995</v>
      </c>
      <c r="C12" s="4">
        <v>0.71</v>
      </c>
      <c r="D12" s="4">
        <f t="shared" si="0"/>
        <v>0.11199999999999993</v>
      </c>
      <c r="E12" s="4">
        <f t="shared" si="0"/>
        <v>0.25099999999999995</v>
      </c>
      <c r="F12" s="33">
        <f t="shared" si="1"/>
        <v>0.36543450064850824</v>
      </c>
      <c r="G12" s="33">
        <f t="shared" si="1"/>
        <v>0.81614785992217875</v>
      </c>
      <c r="H12" s="51">
        <f t="shared" si="2"/>
        <v>0.5907911802853435</v>
      </c>
      <c r="J12" s="16" t="s">
        <v>154</v>
      </c>
      <c r="K12" s="32">
        <v>0.47</v>
      </c>
      <c r="L12" s="32">
        <v>0.44800000000000001</v>
      </c>
      <c r="M12" s="4">
        <f t="shared" si="3"/>
        <v>7.0999999999999952E-2</v>
      </c>
      <c r="N12" s="4">
        <f t="shared" si="3"/>
        <v>4.8999999999999988E-2</v>
      </c>
      <c r="O12" s="33">
        <f t="shared" si="4"/>
        <v>0.23249027237354072</v>
      </c>
      <c r="P12" s="33">
        <f t="shared" si="4"/>
        <v>0.16115434500648504</v>
      </c>
      <c r="Q12" s="51">
        <f t="shared" si="5"/>
        <v>0.19682230869001288</v>
      </c>
      <c r="S12" s="16" t="s">
        <v>154</v>
      </c>
      <c r="T12" s="4">
        <v>0.42399999999999999</v>
      </c>
      <c r="U12" s="4">
        <v>0.42699999999999999</v>
      </c>
      <c r="V12" s="4">
        <f t="shared" si="6"/>
        <v>5.4999999999999993E-2</v>
      </c>
      <c r="W12" s="4">
        <f t="shared" si="6"/>
        <v>5.7999999999999996E-2</v>
      </c>
      <c r="X12" s="33">
        <f t="shared" si="7"/>
        <v>0.18060959792477299</v>
      </c>
      <c r="Y12" s="33">
        <f t="shared" si="7"/>
        <v>0.19033722438391698</v>
      </c>
      <c r="Z12" s="51">
        <f t="shared" si="8"/>
        <v>0.18547341115434499</v>
      </c>
    </row>
    <row r="13" spans="1:26" ht="13.9" x14ac:dyDescent="0.25">
      <c r="A13" s="17" t="s">
        <v>155</v>
      </c>
      <c r="B13" s="4">
        <v>0.64</v>
      </c>
      <c r="C13" s="4">
        <v>0.66600000000000004</v>
      </c>
      <c r="D13" s="4">
        <f t="shared" si="0"/>
        <v>0.18099999999999999</v>
      </c>
      <c r="E13" s="4">
        <f t="shared" si="0"/>
        <v>0.20700000000000002</v>
      </c>
      <c r="F13" s="33">
        <f t="shared" si="1"/>
        <v>0.58916990920881973</v>
      </c>
      <c r="G13" s="33">
        <f t="shared" si="1"/>
        <v>0.67347600518806749</v>
      </c>
      <c r="H13" s="51">
        <f t="shared" si="2"/>
        <v>0.63132295719844356</v>
      </c>
      <c r="J13" s="17" t="s">
        <v>155</v>
      </c>
      <c r="K13" s="4">
        <v>0.58099999999999996</v>
      </c>
      <c r="L13" s="4">
        <v>0.6</v>
      </c>
      <c r="M13" s="4">
        <f t="shared" si="3"/>
        <v>0.18199999999999994</v>
      </c>
      <c r="N13" s="4">
        <f t="shared" si="3"/>
        <v>0.20099999999999996</v>
      </c>
      <c r="O13" s="33">
        <f t="shared" si="4"/>
        <v>0.59241245136186749</v>
      </c>
      <c r="P13" s="33">
        <f t="shared" si="4"/>
        <v>0.6540207522697794</v>
      </c>
      <c r="Q13" s="51">
        <f t="shared" si="5"/>
        <v>0.62321660181582339</v>
      </c>
      <c r="S13" s="17" t="s">
        <v>155</v>
      </c>
      <c r="T13" s="4">
        <v>0.53700000000000003</v>
      </c>
      <c r="U13" s="4">
        <v>0.57099999999999995</v>
      </c>
      <c r="V13" s="4">
        <f t="shared" si="6"/>
        <v>0.16800000000000004</v>
      </c>
      <c r="W13" s="4">
        <f t="shared" si="6"/>
        <v>0.20199999999999996</v>
      </c>
      <c r="X13" s="33">
        <f t="shared" si="7"/>
        <v>0.54701686121919602</v>
      </c>
      <c r="Y13" s="33">
        <f t="shared" si="7"/>
        <v>0.65726329442282738</v>
      </c>
      <c r="Z13" s="51">
        <f t="shared" si="8"/>
        <v>0.60214007782101175</v>
      </c>
    </row>
    <row r="14" spans="1:26" ht="13.9" x14ac:dyDescent="0.25">
      <c r="A14" s="17" t="s">
        <v>156</v>
      </c>
      <c r="B14" s="4">
        <v>0.65600000000000003</v>
      </c>
      <c r="C14" s="4">
        <v>0.64100000000000001</v>
      </c>
      <c r="D14" s="4">
        <f t="shared" si="0"/>
        <v>0.19700000000000001</v>
      </c>
      <c r="E14" s="4">
        <f t="shared" si="0"/>
        <v>0.182</v>
      </c>
      <c r="F14" s="33">
        <f t="shared" si="1"/>
        <v>0.6410505836575876</v>
      </c>
      <c r="G14" s="33">
        <f t="shared" si="1"/>
        <v>0.59241245136186771</v>
      </c>
      <c r="H14" s="51">
        <f t="shared" si="2"/>
        <v>0.61673151750972766</v>
      </c>
      <c r="J14" s="17" t="s">
        <v>156</v>
      </c>
      <c r="K14" s="4">
        <v>0.626</v>
      </c>
      <c r="L14" s="4">
        <v>0.55400000000000005</v>
      </c>
      <c r="M14" s="4">
        <f t="shared" si="3"/>
        <v>0.22699999999999998</v>
      </c>
      <c r="N14" s="4">
        <f t="shared" si="3"/>
        <v>0.15500000000000003</v>
      </c>
      <c r="O14" s="33">
        <f t="shared" si="4"/>
        <v>0.73832684824902717</v>
      </c>
      <c r="P14" s="33">
        <f t="shared" si="4"/>
        <v>0.50486381322957208</v>
      </c>
      <c r="Q14" s="51">
        <f t="shared" si="5"/>
        <v>0.62159533073929962</v>
      </c>
      <c r="S14" s="17" t="s">
        <v>156</v>
      </c>
      <c r="T14" s="4">
        <v>0.49099999999999999</v>
      </c>
      <c r="U14" s="4">
        <v>0.55400000000000005</v>
      </c>
      <c r="V14" s="4">
        <f t="shared" si="6"/>
        <v>0.122</v>
      </c>
      <c r="W14" s="4">
        <f t="shared" si="6"/>
        <v>0.18500000000000005</v>
      </c>
      <c r="X14" s="33">
        <f t="shared" si="7"/>
        <v>0.3978599221789883</v>
      </c>
      <c r="Y14" s="33">
        <f t="shared" si="7"/>
        <v>0.60214007782101187</v>
      </c>
      <c r="Z14" s="51">
        <f t="shared" si="8"/>
        <v>0.50000000000000011</v>
      </c>
    </row>
    <row r="15" spans="1:26" ht="13.9" x14ac:dyDescent="0.25">
      <c r="A15" s="17" t="s">
        <v>157</v>
      </c>
      <c r="B15" s="4">
        <v>0.72699999999999998</v>
      </c>
      <c r="C15" s="4">
        <v>0.55100000000000005</v>
      </c>
      <c r="D15" s="4">
        <f t="shared" si="0"/>
        <v>0.26799999999999996</v>
      </c>
      <c r="E15" s="4">
        <f t="shared" si="0"/>
        <v>9.2000000000000026E-2</v>
      </c>
      <c r="F15" s="33">
        <f t="shared" si="1"/>
        <v>0.8712710765239946</v>
      </c>
      <c r="G15" s="33">
        <f t="shared" si="1"/>
        <v>0.30058365758754874</v>
      </c>
      <c r="H15" s="51">
        <f t="shared" si="2"/>
        <v>0.58592736705577164</v>
      </c>
      <c r="J15" s="17" t="s">
        <v>157</v>
      </c>
      <c r="K15" s="4">
        <v>0.57199999999999995</v>
      </c>
      <c r="L15" s="4">
        <v>0.54900000000000004</v>
      </c>
      <c r="M15" s="4">
        <f t="shared" si="3"/>
        <v>0.17299999999999993</v>
      </c>
      <c r="N15" s="4">
        <f t="shared" si="3"/>
        <v>0.15000000000000002</v>
      </c>
      <c r="O15" s="33">
        <f t="shared" si="4"/>
        <v>0.56322957198443557</v>
      </c>
      <c r="P15" s="33">
        <f t="shared" si="4"/>
        <v>0.48865110246433213</v>
      </c>
      <c r="Q15" s="51">
        <f>AVERAGE(O15:P15)</f>
        <v>0.52594033722438382</v>
      </c>
      <c r="S15" s="17" t="s">
        <v>157</v>
      </c>
      <c r="T15" s="4">
        <v>0.51600000000000001</v>
      </c>
      <c r="U15" s="4">
        <v>0.49199999999999999</v>
      </c>
      <c r="V15" s="4">
        <f t="shared" si="6"/>
        <v>0.14700000000000002</v>
      </c>
      <c r="W15" s="4">
        <f t="shared" si="6"/>
        <v>0.123</v>
      </c>
      <c r="X15" s="33">
        <f t="shared" si="7"/>
        <v>0.47892347600518814</v>
      </c>
      <c r="Y15" s="33">
        <f t="shared" si="7"/>
        <v>0.40110246433203633</v>
      </c>
      <c r="Z15" s="51">
        <f t="shared" si="8"/>
        <v>0.44001297016861224</v>
      </c>
    </row>
    <row r="16" spans="1:26" ht="13.9" x14ac:dyDescent="0.25">
      <c r="A16" s="17" t="s">
        <v>158</v>
      </c>
      <c r="B16" s="14">
        <v>0.504</v>
      </c>
      <c r="C16" s="14">
        <v>0.56200000000000006</v>
      </c>
      <c r="D16" s="14">
        <f t="shared" si="0"/>
        <v>4.4999999999999984E-2</v>
      </c>
      <c r="E16" s="14">
        <f t="shared" si="0"/>
        <v>0.10300000000000004</v>
      </c>
      <c r="F16" s="52">
        <f t="shared" si="1"/>
        <v>0.14818417639429307</v>
      </c>
      <c r="G16" s="52">
        <f t="shared" si="1"/>
        <v>0.33625162127107666</v>
      </c>
      <c r="H16" s="51">
        <f t="shared" si="2"/>
        <v>0.24221789883268485</v>
      </c>
      <c r="J16" s="17" t="s">
        <v>158</v>
      </c>
      <c r="K16" s="14">
        <v>0.45800000000000002</v>
      </c>
      <c r="L16" s="14">
        <v>0.498</v>
      </c>
      <c r="M16" s="14">
        <f t="shared" si="3"/>
        <v>5.8999999999999997E-2</v>
      </c>
      <c r="N16" s="14">
        <f t="shared" si="3"/>
        <v>9.8999999999999977E-2</v>
      </c>
      <c r="O16" s="52">
        <f t="shared" si="4"/>
        <v>0.19357976653696496</v>
      </c>
      <c r="P16" s="52">
        <f t="shared" si="4"/>
        <v>0.32328145265888453</v>
      </c>
      <c r="Q16" s="51">
        <f t="shared" si="5"/>
        <v>0.25843060959792474</v>
      </c>
      <c r="S16" s="17" t="s">
        <v>158</v>
      </c>
      <c r="T16" s="14">
        <v>0.45400000000000001</v>
      </c>
      <c r="U16" s="14">
        <v>0.42799999999999999</v>
      </c>
      <c r="V16" s="14">
        <f t="shared" si="6"/>
        <v>8.500000000000002E-2</v>
      </c>
      <c r="W16" s="14">
        <f t="shared" si="6"/>
        <v>5.8999999999999997E-2</v>
      </c>
      <c r="X16" s="52">
        <f t="shared" si="7"/>
        <v>0.27788586251621278</v>
      </c>
      <c r="Y16" s="52">
        <f t="shared" si="7"/>
        <v>0.19357976653696496</v>
      </c>
      <c r="Z16" s="51">
        <f t="shared" si="8"/>
        <v>0.23573281452658887</v>
      </c>
    </row>
    <row r="17" spans="1:26" ht="13.9" x14ac:dyDescent="0.25">
      <c r="A17" s="18" t="s">
        <v>294</v>
      </c>
      <c r="B17" s="4">
        <v>0.68400000000000005</v>
      </c>
      <c r="C17" s="4">
        <v>0.47799999999999998</v>
      </c>
      <c r="D17" s="4">
        <f>B17-0.399</f>
        <v>0.28500000000000003</v>
      </c>
      <c r="E17" s="4">
        <f>C17-0.399</f>
        <v>7.8999999999999959E-2</v>
      </c>
      <c r="F17" s="33">
        <f t="shared" si="1"/>
        <v>0.92639429312581067</v>
      </c>
      <c r="G17" s="33">
        <f t="shared" si="1"/>
        <v>0.25843060959792463</v>
      </c>
      <c r="H17" s="51">
        <f>AVERAGE(F17:G17)</f>
        <v>0.5924124513618676</v>
      </c>
      <c r="J17" s="18" t="s">
        <v>159</v>
      </c>
      <c r="K17" s="4">
        <v>0.58499999999999996</v>
      </c>
      <c r="L17" s="4">
        <v>0.56000000000000005</v>
      </c>
      <c r="M17" s="4">
        <f t="shared" si="3"/>
        <v>0.18599999999999994</v>
      </c>
      <c r="N17" s="4">
        <f t="shared" si="3"/>
        <v>0.16100000000000003</v>
      </c>
      <c r="O17" s="33">
        <f t="shared" si="4"/>
        <v>0.60538261997405951</v>
      </c>
      <c r="P17" s="33">
        <f t="shared" si="4"/>
        <v>0.52431906614786006</v>
      </c>
      <c r="Q17" s="51">
        <f t="shared" si="5"/>
        <v>0.56485084306095978</v>
      </c>
      <c r="S17" s="18" t="s">
        <v>159</v>
      </c>
      <c r="T17" s="4">
        <v>0.55500000000000005</v>
      </c>
      <c r="U17" s="4">
        <v>0.54500000000000004</v>
      </c>
      <c r="V17" s="4">
        <f>T17-0.399</f>
        <v>0.15600000000000003</v>
      </c>
      <c r="W17" s="4">
        <f>U17-0.399</f>
        <v>0.14600000000000002</v>
      </c>
      <c r="X17" s="33">
        <f t="shared" si="7"/>
        <v>0.50810635538262006</v>
      </c>
      <c r="Y17" s="33">
        <f t="shared" si="7"/>
        <v>0.47568093385214016</v>
      </c>
      <c r="Z17" s="51">
        <f t="shared" si="8"/>
        <v>0.49189364461738011</v>
      </c>
    </row>
    <row r="18" spans="1:26" ht="13.9" x14ac:dyDescent="0.25">
      <c r="A18" s="15" t="s">
        <v>160</v>
      </c>
      <c r="B18" s="4">
        <v>0.58899999999999997</v>
      </c>
      <c r="C18" s="4">
        <v>0.58699999999999997</v>
      </c>
      <c r="D18" s="4">
        <f t="shared" ref="D18:E31" si="9">B18-0.399</f>
        <v>0.18999999999999995</v>
      </c>
      <c r="E18" s="4">
        <f t="shared" si="9"/>
        <v>0.18799999999999994</v>
      </c>
      <c r="F18" s="33">
        <f t="shared" si="1"/>
        <v>0.61835278858625142</v>
      </c>
      <c r="G18" s="33">
        <f t="shared" si="1"/>
        <v>0.61186770428015547</v>
      </c>
      <c r="H18" s="51">
        <f t="shared" ref="H18:H31" si="10">AVERAGE(F18:G18)</f>
        <v>0.61511024643320344</v>
      </c>
      <c r="J18" s="15" t="s">
        <v>160</v>
      </c>
      <c r="K18" s="4">
        <v>0.52900000000000003</v>
      </c>
      <c r="L18" s="4">
        <v>0.60099999999999998</v>
      </c>
      <c r="M18" s="4">
        <f t="shared" si="3"/>
        <v>0.13</v>
      </c>
      <c r="N18" s="4">
        <f t="shared" si="3"/>
        <v>0.20199999999999996</v>
      </c>
      <c r="O18" s="33">
        <f t="shared" si="4"/>
        <v>0.42380025940337229</v>
      </c>
      <c r="P18" s="33">
        <f t="shared" si="4"/>
        <v>0.65726329442282738</v>
      </c>
      <c r="Q18" s="51">
        <f t="shared" si="5"/>
        <v>0.54053177691309984</v>
      </c>
      <c r="S18" s="15" t="s">
        <v>160</v>
      </c>
      <c r="T18" s="4">
        <v>0.56799999999999995</v>
      </c>
      <c r="U18" s="4">
        <v>0.51600000000000001</v>
      </c>
      <c r="V18" s="4">
        <f t="shared" ref="V18:W31" si="11">T18-0.399</f>
        <v>0.16899999999999993</v>
      </c>
      <c r="W18" s="4">
        <f t="shared" si="11"/>
        <v>0.11699999999999999</v>
      </c>
      <c r="X18" s="33">
        <f t="shared" si="7"/>
        <v>0.55025940337224366</v>
      </c>
      <c r="Y18" s="33">
        <f t="shared" si="7"/>
        <v>0.38164721141374836</v>
      </c>
      <c r="Z18" s="51">
        <f t="shared" si="8"/>
        <v>0.46595330739299601</v>
      </c>
    </row>
    <row r="19" spans="1:26" ht="13.9" x14ac:dyDescent="0.25">
      <c r="A19" s="15" t="s">
        <v>161</v>
      </c>
      <c r="B19" s="4">
        <v>0.501</v>
      </c>
      <c r="C19" s="4">
        <v>0.58499999999999996</v>
      </c>
      <c r="D19" s="4">
        <f t="shared" si="9"/>
        <v>0.10199999999999998</v>
      </c>
      <c r="E19" s="4">
        <f t="shared" si="9"/>
        <v>0.18599999999999994</v>
      </c>
      <c r="F19" s="33">
        <f t="shared" si="1"/>
        <v>0.33300907911802846</v>
      </c>
      <c r="G19" s="33">
        <f t="shared" si="1"/>
        <v>0.60538261997405951</v>
      </c>
      <c r="H19" s="51">
        <f t="shared" si="10"/>
        <v>0.46919584954604399</v>
      </c>
      <c r="J19" s="15" t="s">
        <v>161</v>
      </c>
      <c r="K19" s="4">
        <v>0.50900000000000001</v>
      </c>
      <c r="L19" s="4">
        <v>0.58399999999999996</v>
      </c>
      <c r="M19" s="4">
        <f t="shared" si="3"/>
        <v>0.10999999999999999</v>
      </c>
      <c r="N19" s="4">
        <f t="shared" si="3"/>
        <v>0.18499999999999994</v>
      </c>
      <c r="O19" s="33">
        <f t="shared" si="4"/>
        <v>0.3589494163424124</v>
      </c>
      <c r="P19" s="33">
        <f t="shared" si="4"/>
        <v>0.60214007782101153</v>
      </c>
      <c r="Q19" s="51">
        <f t="shared" si="5"/>
        <v>0.48054474708171196</v>
      </c>
      <c r="S19" s="15" t="s">
        <v>161</v>
      </c>
      <c r="T19" s="4">
        <v>0.56000000000000005</v>
      </c>
      <c r="U19" s="4">
        <v>0.53200000000000003</v>
      </c>
      <c r="V19" s="4">
        <f t="shared" si="11"/>
        <v>0.16100000000000003</v>
      </c>
      <c r="W19" s="4">
        <f t="shared" si="11"/>
        <v>0.13300000000000001</v>
      </c>
      <c r="X19" s="33">
        <f t="shared" si="7"/>
        <v>0.52431906614786006</v>
      </c>
      <c r="Y19" s="33">
        <f t="shared" si="7"/>
        <v>0.43352788586251623</v>
      </c>
      <c r="Z19" s="51">
        <f t="shared" si="8"/>
        <v>0.47892347600518814</v>
      </c>
    </row>
    <row r="20" spans="1:26" ht="13.9" x14ac:dyDescent="0.25">
      <c r="A20" s="16" t="s">
        <v>162</v>
      </c>
      <c r="B20" s="4">
        <v>0.57199999999999995</v>
      </c>
      <c r="C20" s="4">
        <v>0.49199999999999999</v>
      </c>
      <c r="D20" s="4">
        <f t="shared" si="9"/>
        <v>0.17299999999999993</v>
      </c>
      <c r="E20" s="4">
        <f t="shared" si="9"/>
        <v>9.2999999999999972E-2</v>
      </c>
      <c r="F20" s="33">
        <f t="shared" si="1"/>
        <v>0.56322957198443557</v>
      </c>
      <c r="G20" s="33">
        <f t="shared" si="1"/>
        <v>0.30382619974059655</v>
      </c>
      <c r="H20" s="51">
        <f t="shared" si="10"/>
        <v>0.43352788586251606</v>
      </c>
      <c r="J20" s="16" t="s">
        <v>162</v>
      </c>
      <c r="K20" s="4">
        <v>0.53300000000000003</v>
      </c>
      <c r="L20" s="4">
        <v>0.55400000000000005</v>
      </c>
      <c r="M20" s="4">
        <f t="shared" si="3"/>
        <v>0.13400000000000001</v>
      </c>
      <c r="N20" s="4">
        <f t="shared" si="3"/>
        <v>0.15500000000000003</v>
      </c>
      <c r="O20" s="33">
        <f t="shared" si="4"/>
        <v>0.43677042801556426</v>
      </c>
      <c r="P20" s="33">
        <f t="shared" si="4"/>
        <v>0.50486381322957208</v>
      </c>
      <c r="Q20" s="51">
        <f t="shared" si="5"/>
        <v>0.4708171206225682</v>
      </c>
      <c r="S20" s="16" t="s">
        <v>162</v>
      </c>
      <c r="T20" s="4">
        <v>0.51600000000000001</v>
      </c>
      <c r="U20" s="4">
        <v>0.496</v>
      </c>
      <c r="V20" s="4">
        <f t="shared" si="11"/>
        <v>0.11699999999999999</v>
      </c>
      <c r="W20" s="4">
        <f t="shared" si="11"/>
        <v>9.6999999999999975E-2</v>
      </c>
      <c r="X20" s="33">
        <f t="shared" si="7"/>
        <v>0.38164721141374836</v>
      </c>
      <c r="Y20" s="33">
        <f t="shared" si="7"/>
        <v>0.31679636835278852</v>
      </c>
      <c r="Z20" s="51">
        <f t="shared" si="8"/>
        <v>0.34922178988326846</v>
      </c>
    </row>
    <row r="21" spans="1:26" ht="13.9" x14ac:dyDescent="0.25">
      <c r="A21" s="16" t="s">
        <v>163</v>
      </c>
      <c r="B21" s="4">
        <v>0.47699999999999998</v>
      </c>
      <c r="C21" s="4">
        <v>0.55700000000000005</v>
      </c>
      <c r="D21" s="4">
        <f t="shared" si="9"/>
        <v>7.7999999999999958E-2</v>
      </c>
      <c r="E21" s="4">
        <f t="shared" si="9"/>
        <v>0.15800000000000003</v>
      </c>
      <c r="F21" s="33">
        <f t="shared" si="1"/>
        <v>0.25518806744487665</v>
      </c>
      <c r="G21" s="33">
        <f t="shared" si="1"/>
        <v>0.51459143968871601</v>
      </c>
      <c r="H21" s="51">
        <f t="shared" si="10"/>
        <v>0.38488975356679633</v>
      </c>
      <c r="J21" s="16" t="s">
        <v>163</v>
      </c>
      <c r="K21" s="4">
        <v>0.54500000000000004</v>
      </c>
      <c r="L21" s="4">
        <v>0.50900000000000001</v>
      </c>
      <c r="M21" s="4">
        <f t="shared" si="3"/>
        <v>0.14600000000000002</v>
      </c>
      <c r="N21" s="4">
        <f t="shared" si="3"/>
        <v>0.10999999999999999</v>
      </c>
      <c r="O21" s="33">
        <f t="shared" si="4"/>
        <v>0.47568093385214016</v>
      </c>
      <c r="P21" s="33">
        <f t="shared" si="4"/>
        <v>0.3589494163424124</v>
      </c>
      <c r="Q21" s="51">
        <f t="shared" si="5"/>
        <v>0.41731517509727628</v>
      </c>
      <c r="S21" s="16" t="s">
        <v>163</v>
      </c>
      <c r="T21" s="4">
        <v>0.50600000000000001</v>
      </c>
      <c r="U21" s="4">
        <v>0.502</v>
      </c>
      <c r="V21" s="4">
        <f t="shared" si="11"/>
        <v>0.10699999999999998</v>
      </c>
      <c r="W21" s="4">
        <f t="shared" si="11"/>
        <v>0.10299999999999998</v>
      </c>
      <c r="X21" s="33">
        <f t="shared" si="7"/>
        <v>0.34922178988326846</v>
      </c>
      <c r="Y21" s="33">
        <f t="shared" si="7"/>
        <v>0.3362516212710765</v>
      </c>
      <c r="Z21" s="51">
        <f t="shared" si="8"/>
        <v>0.34273670557717251</v>
      </c>
    </row>
    <row r="22" spans="1:26" ht="13.9" x14ac:dyDescent="0.25">
      <c r="A22" s="17" t="s">
        <v>164</v>
      </c>
      <c r="B22" s="4">
        <v>0.58799999999999997</v>
      </c>
      <c r="C22" s="4">
        <v>0.56499999999999995</v>
      </c>
      <c r="D22" s="4">
        <f t="shared" si="9"/>
        <v>0.18899999999999995</v>
      </c>
      <c r="E22" s="4">
        <f t="shared" si="9"/>
        <v>0.16599999999999993</v>
      </c>
      <c r="F22" s="33">
        <f t="shared" si="1"/>
        <v>0.61511024643320344</v>
      </c>
      <c r="G22" s="33">
        <f t="shared" si="1"/>
        <v>0.54053177691309962</v>
      </c>
      <c r="H22" s="51">
        <f t="shared" si="10"/>
        <v>0.57782101167315147</v>
      </c>
      <c r="J22" s="17" t="s">
        <v>164</v>
      </c>
      <c r="K22" s="4">
        <v>0.57399999999999995</v>
      </c>
      <c r="L22" s="4">
        <v>0.56999999999999995</v>
      </c>
      <c r="M22" s="4">
        <f t="shared" si="3"/>
        <v>0.17499999999999993</v>
      </c>
      <c r="N22" s="4">
        <f t="shared" si="3"/>
        <v>0.17099999999999993</v>
      </c>
      <c r="O22" s="33">
        <f t="shared" si="4"/>
        <v>0.56971465629053153</v>
      </c>
      <c r="P22" s="33">
        <f t="shared" si="4"/>
        <v>0.55674448767833962</v>
      </c>
      <c r="Q22" s="51">
        <f t="shared" si="5"/>
        <v>0.56322957198443557</v>
      </c>
      <c r="S22" s="17" t="s">
        <v>164</v>
      </c>
      <c r="T22" s="4">
        <v>0.57599999999999996</v>
      </c>
      <c r="U22" s="4">
        <v>0.52</v>
      </c>
      <c r="V22" s="4">
        <f t="shared" si="11"/>
        <v>0.17699999999999994</v>
      </c>
      <c r="W22" s="4">
        <f t="shared" si="11"/>
        <v>0.121</v>
      </c>
      <c r="X22" s="33">
        <f t="shared" si="7"/>
        <v>0.5761997405966276</v>
      </c>
      <c r="Y22" s="33">
        <f t="shared" si="7"/>
        <v>0.39461738002594032</v>
      </c>
      <c r="Z22" s="51">
        <f t="shared" si="8"/>
        <v>0.48540856031128399</v>
      </c>
    </row>
    <row r="23" spans="1:26" ht="13.9" x14ac:dyDescent="0.25">
      <c r="A23" s="17" t="s">
        <v>165</v>
      </c>
      <c r="B23" s="4">
        <v>0.45600000000000002</v>
      </c>
      <c r="C23" s="4">
        <v>0.435</v>
      </c>
      <c r="D23" s="4">
        <f t="shared" si="9"/>
        <v>5.6999999999999995E-2</v>
      </c>
      <c r="E23" s="4">
        <f t="shared" si="9"/>
        <v>3.5999999999999976E-2</v>
      </c>
      <c r="F23" s="33">
        <f t="shared" si="1"/>
        <v>0.18709468223086897</v>
      </c>
      <c r="G23" s="33">
        <f t="shared" si="1"/>
        <v>0.11900129701686114</v>
      </c>
      <c r="H23" s="51">
        <f t="shared" si="10"/>
        <v>0.15304798962386507</v>
      </c>
      <c r="J23" s="17" t="s">
        <v>165</v>
      </c>
      <c r="K23" s="4">
        <v>0.44600000000000001</v>
      </c>
      <c r="L23" s="4">
        <v>0.48499999999999999</v>
      </c>
      <c r="M23" s="4">
        <f t="shared" si="3"/>
        <v>4.6999999999999986E-2</v>
      </c>
      <c r="N23" s="4">
        <f t="shared" si="3"/>
        <v>8.5999999999999965E-2</v>
      </c>
      <c r="O23" s="33">
        <f t="shared" si="4"/>
        <v>0.15466926070038906</v>
      </c>
      <c r="P23" s="33">
        <f t="shared" si="4"/>
        <v>0.28112840466926059</v>
      </c>
      <c r="Q23" s="51">
        <f t="shared" si="5"/>
        <v>0.21789883268482482</v>
      </c>
      <c r="S23" s="17" t="s">
        <v>165</v>
      </c>
      <c r="T23" s="4">
        <v>0.46300000000000002</v>
      </c>
      <c r="U23" s="4">
        <v>0.45200000000000001</v>
      </c>
      <c r="V23" s="4">
        <f t="shared" si="11"/>
        <v>6.4000000000000001E-2</v>
      </c>
      <c r="W23" s="4">
        <f t="shared" si="11"/>
        <v>5.2999999999999992E-2</v>
      </c>
      <c r="X23" s="33">
        <f t="shared" si="7"/>
        <v>0.20979247730220496</v>
      </c>
      <c r="Y23" s="33">
        <f t="shared" si="7"/>
        <v>0.17412451361867701</v>
      </c>
      <c r="Z23" s="51">
        <f t="shared" si="8"/>
        <v>0.19195849546044097</v>
      </c>
    </row>
    <row r="24" spans="1:26" ht="13.9" x14ac:dyDescent="0.25">
      <c r="A24" s="16" t="s">
        <v>166</v>
      </c>
      <c r="B24" s="4">
        <v>0.495</v>
      </c>
      <c r="C24" s="4">
        <v>0.49199999999999999</v>
      </c>
      <c r="D24" s="4">
        <f t="shared" si="9"/>
        <v>9.5999999999999974E-2</v>
      </c>
      <c r="E24" s="4">
        <f t="shared" si="9"/>
        <v>9.2999999999999972E-2</v>
      </c>
      <c r="F24" s="33">
        <f t="shared" si="1"/>
        <v>0.31355382619974054</v>
      </c>
      <c r="G24" s="33">
        <f t="shared" si="1"/>
        <v>0.30382619974059655</v>
      </c>
      <c r="H24" s="51">
        <f t="shared" si="10"/>
        <v>0.30869001297016851</v>
      </c>
      <c r="J24" s="16" t="s">
        <v>166</v>
      </c>
      <c r="K24" s="4">
        <v>0.53200000000000003</v>
      </c>
      <c r="L24" s="4">
        <v>0.49199999999999999</v>
      </c>
      <c r="M24" s="4">
        <f t="shared" si="3"/>
        <v>0.13300000000000001</v>
      </c>
      <c r="N24" s="4">
        <f t="shared" si="3"/>
        <v>9.2999999999999972E-2</v>
      </c>
      <c r="O24" s="33">
        <f t="shared" si="4"/>
        <v>0.43352788586251623</v>
      </c>
      <c r="P24" s="33">
        <f t="shared" si="4"/>
        <v>0.30382619974059655</v>
      </c>
      <c r="Q24" s="51">
        <f t="shared" si="5"/>
        <v>0.36867704280155639</v>
      </c>
      <c r="S24" s="16" t="s">
        <v>166</v>
      </c>
      <c r="T24" s="4">
        <v>0.502</v>
      </c>
      <c r="U24" s="4">
        <v>0.505</v>
      </c>
      <c r="V24" s="4">
        <f t="shared" si="11"/>
        <v>0.10299999999999998</v>
      </c>
      <c r="W24" s="4">
        <f t="shared" si="11"/>
        <v>0.10599999999999998</v>
      </c>
      <c r="X24" s="33">
        <f t="shared" si="7"/>
        <v>0.3362516212710765</v>
      </c>
      <c r="Y24" s="33">
        <f t="shared" si="7"/>
        <v>0.34597924773022043</v>
      </c>
      <c r="Z24" s="51">
        <f t="shared" si="8"/>
        <v>0.34111543450064846</v>
      </c>
    </row>
    <row r="25" spans="1:26" ht="13.9" x14ac:dyDescent="0.25">
      <c r="A25" s="16" t="s">
        <v>167</v>
      </c>
      <c r="B25" s="4">
        <v>0.501</v>
      </c>
      <c r="C25" s="4">
        <v>0.52500000000000002</v>
      </c>
      <c r="D25" s="4">
        <f t="shared" si="9"/>
        <v>0.10199999999999998</v>
      </c>
      <c r="E25" s="4">
        <f t="shared" si="9"/>
        <v>0.126</v>
      </c>
      <c r="F25" s="33">
        <f t="shared" si="1"/>
        <v>0.33300907911802846</v>
      </c>
      <c r="G25" s="33">
        <f t="shared" si="1"/>
        <v>0.41083009079118032</v>
      </c>
      <c r="H25" s="51">
        <f t="shared" si="10"/>
        <v>0.37191958495460442</v>
      </c>
      <c r="J25" s="16" t="s">
        <v>167</v>
      </c>
      <c r="K25" s="4">
        <v>0.52300000000000002</v>
      </c>
      <c r="L25" s="4">
        <v>0.51900000000000002</v>
      </c>
      <c r="M25" s="4">
        <f t="shared" si="3"/>
        <v>0.124</v>
      </c>
      <c r="N25" s="4">
        <f t="shared" si="3"/>
        <v>0.12</v>
      </c>
      <c r="O25" s="33">
        <f t="shared" si="4"/>
        <v>0.40434500648508431</v>
      </c>
      <c r="P25" s="33">
        <f t="shared" si="4"/>
        <v>0.39137483787289234</v>
      </c>
      <c r="Q25" s="51">
        <f t="shared" si="5"/>
        <v>0.39785992217898836</v>
      </c>
      <c r="S25" s="16" t="s">
        <v>167</v>
      </c>
      <c r="T25" s="4">
        <v>0.49099999999999999</v>
      </c>
      <c r="U25" s="4">
        <v>0.498</v>
      </c>
      <c r="V25" s="4">
        <f t="shared" si="11"/>
        <v>9.1999999999999971E-2</v>
      </c>
      <c r="W25" s="4">
        <f t="shared" si="11"/>
        <v>9.8999999999999977E-2</v>
      </c>
      <c r="X25" s="33">
        <f t="shared" si="7"/>
        <v>0.30058365758754857</v>
      </c>
      <c r="Y25" s="33">
        <f t="shared" si="7"/>
        <v>0.32328145265888453</v>
      </c>
      <c r="Z25" s="51">
        <f t="shared" si="8"/>
        <v>0.31193255512321655</v>
      </c>
    </row>
    <row r="26" spans="1:26" ht="30" x14ac:dyDescent="0.25">
      <c r="A26" s="16" t="s">
        <v>168</v>
      </c>
      <c r="B26" s="4">
        <v>0.53500000000000003</v>
      </c>
      <c r="C26" s="4">
        <v>0.53200000000000003</v>
      </c>
      <c r="D26" s="4">
        <f t="shared" si="9"/>
        <v>0.13600000000000001</v>
      </c>
      <c r="E26" s="4">
        <f t="shared" si="9"/>
        <v>0.13300000000000001</v>
      </c>
      <c r="F26" s="33">
        <f t="shared" si="1"/>
        <v>0.44325551232166022</v>
      </c>
      <c r="G26" s="33">
        <f t="shared" si="1"/>
        <v>0.43352788586251623</v>
      </c>
      <c r="H26" s="51">
        <f t="shared" si="10"/>
        <v>0.43839169909208819</v>
      </c>
      <c r="J26" s="16" t="s">
        <v>168</v>
      </c>
      <c r="K26" s="4">
        <v>0.52800000000000002</v>
      </c>
      <c r="L26" s="4">
        <v>0.55600000000000005</v>
      </c>
      <c r="M26" s="4">
        <f t="shared" si="3"/>
        <v>0.129</v>
      </c>
      <c r="N26" s="4">
        <f t="shared" si="3"/>
        <v>0.15700000000000003</v>
      </c>
      <c r="O26" s="33">
        <f t="shared" si="4"/>
        <v>0.42055771725032426</v>
      </c>
      <c r="P26" s="33">
        <f t="shared" si="4"/>
        <v>0.51134889753566803</v>
      </c>
      <c r="Q26" s="51">
        <f t="shared" si="5"/>
        <v>0.46595330739299612</v>
      </c>
      <c r="S26" s="16" t="s">
        <v>168</v>
      </c>
      <c r="T26" s="4">
        <v>0.53800000000000003</v>
      </c>
      <c r="U26" s="4">
        <v>0.53</v>
      </c>
      <c r="V26" s="4">
        <f t="shared" si="11"/>
        <v>0.13900000000000001</v>
      </c>
      <c r="W26" s="4">
        <f t="shared" si="11"/>
        <v>0.13100000000000001</v>
      </c>
      <c r="X26" s="33">
        <f t="shared" si="7"/>
        <v>0.45298313878080421</v>
      </c>
      <c r="Y26" s="33">
        <f t="shared" si="7"/>
        <v>0.42704280155642027</v>
      </c>
      <c r="Z26" s="51">
        <f t="shared" si="8"/>
        <v>0.44001297016861224</v>
      </c>
    </row>
    <row r="27" spans="1:26" ht="13.9" x14ac:dyDescent="0.25">
      <c r="A27" s="16" t="s">
        <v>169</v>
      </c>
      <c r="B27" s="4">
        <v>0.501</v>
      </c>
      <c r="C27" s="4">
        <v>0.495</v>
      </c>
      <c r="D27" s="4">
        <f t="shared" si="9"/>
        <v>0.10199999999999998</v>
      </c>
      <c r="E27" s="4">
        <f t="shared" si="9"/>
        <v>9.5999999999999974E-2</v>
      </c>
      <c r="F27" s="33">
        <f t="shared" si="1"/>
        <v>0.33300907911802846</v>
      </c>
      <c r="G27" s="33">
        <f t="shared" si="1"/>
        <v>0.31355382619974054</v>
      </c>
      <c r="H27" s="89">
        <f t="shared" si="10"/>
        <v>0.32328145265888453</v>
      </c>
      <c r="J27" s="16" t="s">
        <v>169</v>
      </c>
      <c r="K27" s="4">
        <v>0.51700000000000002</v>
      </c>
      <c r="L27" s="4">
        <v>0.51200000000000001</v>
      </c>
      <c r="M27" s="4">
        <f t="shared" si="3"/>
        <v>0.11799999999999999</v>
      </c>
      <c r="N27" s="4">
        <f t="shared" si="3"/>
        <v>0.11299999999999999</v>
      </c>
      <c r="O27" s="33">
        <f t="shared" si="4"/>
        <v>0.38488975356679633</v>
      </c>
      <c r="P27" s="33">
        <f t="shared" si="4"/>
        <v>0.36867704280155639</v>
      </c>
      <c r="Q27" s="89">
        <f t="shared" si="5"/>
        <v>0.37678339818417639</v>
      </c>
      <c r="S27" s="16" t="s">
        <v>169</v>
      </c>
      <c r="T27" s="4">
        <v>0.48899999999999999</v>
      </c>
      <c r="U27" s="4">
        <v>0.49299999999999999</v>
      </c>
      <c r="V27" s="4">
        <f t="shared" si="11"/>
        <v>8.9999999999999969E-2</v>
      </c>
      <c r="W27" s="4">
        <f t="shared" si="11"/>
        <v>9.3999999999999972E-2</v>
      </c>
      <c r="X27" s="33">
        <f t="shared" si="7"/>
        <v>0.29409857328145256</v>
      </c>
      <c r="Y27" s="33">
        <f t="shared" si="7"/>
        <v>0.30706874189364453</v>
      </c>
      <c r="Z27" s="89">
        <f t="shared" si="8"/>
        <v>0.30058365758754857</v>
      </c>
    </row>
    <row r="28" spans="1:26" ht="30" x14ac:dyDescent="0.25">
      <c r="A28" s="17" t="s">
        <v>170</v>
      </c>
      <c r="B28" s="4">
        <v>0.54400000000000004</v>
      </c>
      <c r="C28" s="4">
        <v>0.55100000000000005</v>
      </c>
      <c r="D28" s="4">
        <f t="shared" si="9"/>
        <v>0.14500000000000002</v>
      </c>
      <c r="E28" s="4">
        <f t="shared" si="9"/>
        <v>0.15200000000000002</v>
      </c>
      <c r="F28" s="33">
        <f t="shared" si="1"/>
        <v>0.47243839169909213</v>
      </c>
      <c r="G28" s="33">
        <f t="shared" si="1"/>
        <v>0.49513618677042809</v>
      </c>
      <c r="H28" s="51">
        <f t="shared" si="10"/>
        <v>0.48378728923476011</v>
      </c>
      <c r="J28" s="17" t="s">
        <v>170</v>
      </c>
      <c r="K28" s="4">
        <v>0.53</v>
      </c>
      <c r="L28" s="4">
        <v>0.57999999999999996</v>
      </c>
      <c r="M28" s="4">
        <f t="shared" si="3"/>
        <v>0.13100000000000001</v>
      </c>
      <c r="N28" s="4">
        <f t="shared" si="3"/>
        <v>0.18099999999999994</v>
      </c>
      <c r="O28" s="33">
        <f t="shared" si="4"/>
        <v>0.42704280155642027</v>
      </c>
      <c r="P28" s="33">
        <f t="shared" si="4"/>
        <v>0.58916990920881951</v>
      </c>
      <c r="Q28" s="51">
        <f t="shared" si="5"/>
        <v>0.50810635538261995</v>
      </c>
      <c r="S28" s="17" t="s">
        <v>170</v>
      </c>
      <c r="T28" s="4">
        <v>0.53</v>
      </c>
      <c r="U28" s="4">
        <v>0.54800000000000004</v>
      </c>
      <c r="V28" s="4">
        <f t="shared" si="11"/>
        <v>0.13100000000000001</v>
      </c>
      <c r="W28" s="4">
        <f t="shared" si="11"/>
        <v>0.14900000000000002</v>
      </c>
      <c r="X28" s="33">
        <f t="shared" si="7"/>
        <v>0.42704280155642027</v>
      </c>
      <c r="Y28" s="33">
        <f t="shared" si="7"/>
        <v>0.4854085603112841</v>
      </c>
      <c r="Z28" s="51">
        <f t="shared" si="8"/>
        <v>0.45622568093385218</v>
      </c>
    </row>
    <row r="29" spans="1:26" ht="13.9" x14ac:dyDescent="0.25">
      <c r="A29" s="17" t="s">
        <v>171</v>
      </c>
      <c r="B29" s="4">
        <v>0.51800000000000002</v>
      </c>
      <c r="C29" s="4">
        <v>0.49399999999999999</v>
      </c>
      <c r="D29" s="4">
        <f t="shared" si="9"/>
        <v>0.11899999999999999</v>
      </c>
      <c r="E29" s="4">
        <f t="shared" si="9"/>
        <v>9.4999999999999973E-2</v>
      </c>
      <c r="F29" s="33">
        <f t="shared" si="1"/>
        <v>0.38813229571984437</v>
      </c>
      <c r="G29" s="33">
        <f t="shared" si="1"/>
        <v>0.31031128404669256</v>
      </c>
      <c r="H29" s="51">
        <f t="shared" si="10"/>
        <v>0.34922178988326846</v>
      </c>
      <c r="J29" s="17" t="s">
        <v>171</v>
      </c>
      <c r="K29" s="4">
        <v>0.51</v>
      </c>
      <c r="L29" s="4">
        <v>0.495</v>
      </c>
      <c r="M29" s="4">
        <f t="shared" si="3"/>
        <v>0.11099999999999999</v>
      </c>
      <c r="N29" s="4">
        <f t="shared" si="3"/>
        <v>9.5999999999999974E-2</v>
      </c>
      <c r="O29" s="33">
        <f t="shared" si="4"/>
        <v>0.36219195849546043</v>
      </c>
      <c r="P29" s="33">
        <f t="shared" si="4"/>
        <v>0.31355382619974054</v>
      </c>
      <c r="Q29" s="51">
        <f t="shared" si="5"/>
        <v>0.33787289234760048</v>
      </c>
      <c r="S29" s="17" t="s">
        <v>171</v>
      </c>
      <c r="T29" s="4">
        <v>0.53100000000000003</v>
      </c>
      <c r="U29" s="4">
        <v>0.53600000000000003</v>
      </c>
      <c r="V29" s="4">
        <f t="shared" si="11"/>
        <v>0.13200000000000001</v>
      </c>
      <c r="W29" s="4">
        <f t="shared" si="11"/>
        <v>0.13700000000000001</v>
      </c>
      <c r="X29" s="33">
        <f t="shared" si="7"/>
        <v>0.43028534370946825</v>
      </c>
      <c r="Y29" s="33">
        <f t="shared" si="7"/>
        <v>0.44649805447470819</v>
      </c>
      <c r="Z29" s="51">
        <f t="shared" si="8"/>
        <v>0.43839169909208819</v>
      </c>
    </row>
    <row r="30" spans="1:26" ht="13.9" x14ac:dyDescent="0.25">
      <c r="A30" s="17" t="s">
        <v>172</v>
      </c>
      <c r="B30" s="4">
        <v>0.441</v>
      </c>
      <c r="C30" s="4">
        <v>0.44</v>
      </c>
      <c r="D30" s="4">
        <f t="shared" si="9"/>
        <v>4.1999999999999982E-2</v>
      </c>
      <c r="E30" s="4">
        <f t="shared" si="9"/>
        <v>4.0999999999999981E-2</v>
      </c>
      <c r="F30" s="33">
        <f t="shared" si="1"/>
        <v>0.13845654993514908</v>
      </c>
      <c r="G30" s="33">
        <f t="shared" si="1"/>
        <v>0.1352140077821011</v>
      </c>
      <c r="H30" s="51">
        <f t="shared" si="10"/>
        <v>0.13683527885862509</v>
      </c>
      <c r="J30" s="17" t="s">
        <v>172</v>
      </c>
      <c r="K30" s="4">
        <v>0.45300000000000001</v>
      </c>
      <c r="L30" s="4">
        <v>0.42899999999999999</v>
      </c>
      <c r="M30" s="4">
        <f t="shared" si="3"/>
        <v>5.3999999999999992E-2</v>
      </c>
      <c r="N30" s="4">
        <f t="shared" si="3"/>
        <v>2.9999999999999971E-2</v>
      </c>
      <c r="O30" s="33">
        <f t="shared" si="4"/>
        <v>0.17736705577172501</v>
      </c>
      <c r="P30" s="33">
        <f t="shared" si="4"/>
        <v>9.9546044098573178E-2</v>
      </c>
      <c r="Q30" s="51">
        <f t="shared" si="5"/>
        <v>0.13845654993514911</v>
      </c>
      <c r="S30" s="17" t="s">
        <v>172</v>
      </c>
      <c r="T30" s="4">
        <v>0.437</v>
      </c>
      <c r="U30" s="4">
        <v>0.46400000000000002</v>
      </c>
      <c r="V30" s="4">
        <f t="shared" si="11"/>
        <v>3.7999999999999978E-2</v>
      </c>
      <c r="W30" s="4">
        <f t="shared" si="11"/>
        <v>6.5000000000000002E-2</v>
      </c>
      <c r="X30" s="33">
        <f t="shared" si="7"/>
        <v>0.12548638132295711</v>
      </c>
      <c r="Y30" s="33">
        <f t="shared" si="7"/>
        <v>0.21303501945525294</v>
      </c>
      <c r="Z30" s="51">
        <f t="shared" si="8"/>
        <v>0.16926070038910501</v>
      </c>
    </row>
    <row r="31" spans="1:26" ht="13.9" x14ac:dyDescent="0.25">
      <c r="A31" s="17" t="s">
        <v>173</v>
      </c>
      <c r="B31" s="4">
        <v>0.42099999999999999</v>
      </c>
      <c r="C31" s="4">
        <v>0.48899999999999999</v>
      </c>
      <c r="D31" s="4">
        <f t="shared" si="9"/>
        <v>2.1999999999999964E-2</v>
      </c>
      <c r="E31" s="4">
        <f t="shared" si="9"/>
        <v>8.9999999999999969E-2</v>
      </c>
      <c r="F31" s="33">
        <f t="shared" si="1"/>
        <v>7.3605706874189242E-2</v>
      </c>
      <c r="G31" s="33">
        <f t="shared" si="1"/>
        <v>0.29409857328145256</v>
      </c>
      <c r="H31" s="51">
        <f t="shared" si="10"/>
        <v>0.18385214007782091</v>
      </c>
      <c r="J31" s="17" t="s">
        <v>173</v>
      </c>
      <c r="K31" s="4">
        <v>0.44700000000000001</v>
      </c>
      <c r="L31" s="4">
        <v>0.42</v>
      </c>
      <c r="M31" s="4">
        <f t="shared" si="3"/>
        <v>4.7999999999999987E-2</v>
      </c>
      <c r="N31" s="4">
        <f t="shared" si="3"/>
        <v>2.0999999999999963E-2</v>
      </c>
      <c r="O31" s="33">
        <f t="shared" si="4"/>
        <v>0.15791180285343703</v>
      </c>
      <c r="P31" s="33">
        <f t="shared" si="4"/>
        <v>7.036316472114125E-2</v>
      </c>
      <c r="Q31" s="51">
        <f t="shared" si="5"/>
        <v>0.11413748378728913</v>
      </c>
      <c r="S31" s="17" t="s">
        <v>173</v>
      </c>
      <c r="T31" s="4">
        <v>0.437</v>
      </c>
      <c r="U31" s="4">
        <v>0.42599999999999999</v>
      </c>
      <c r="V31" s="4">
        <f t="shared" si="11"/>
        <v>3.7999999999999978E-2</v>
      </c>
      <c r="W31" s="4">
        <f t="shared" si="11"/>
        <v>2.6999999999999968E-2</v>
      </c>
      <c r="X31" s="33">
        <f t="shared" si="7"/>
        <v>0.12548638132295711</v>
      </c>
      <c r="Y31" s="33">
        <f t="shared" si="7"/>
        <v>8.9818417639429202E-2</v>
      </c>
      <c r="Z31" s="51">
        <f t="shared" si="8"/>
        <v>0.10765239948119315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BC400-84A0-415F-A303-D89BF8A45A89}">
  <dimension ref="A1:AN33"/>
  <sheetViews>
    <sheetView topLeftCell="X1" zoomScale="73" zoomScaleNormal="79" workbookViewId="0">
      <selection activeCell="AD40" sqref="AD40"/>
    </sheetView>
  </sheetViews>
  <sheetFormatPr defaultColWidth="8.85546875" defaultRowHeight="15" x14ac:dyDescent="0.25"/>
  <cols>
    <col min="1" max="1" width="40" style="32" customWidth="1"/>
    <col min="2" max="12" width="8.85546875" style="32"/>
    <col min="13" max="13" width="36.42578125" style="32" customWidth="1"/>
    <col min="14" max="24" width="8.85546875" style="32"/>
    <col min="25" max="25" width="39.5703125" style="32" customWidth="1"/>
    <col min="26" max="26" width="13" style="32" customWidth="1"/>
    <col min="27" max="37" width="8.85546875" style="32"/>
    <col min="38" max="38" width="36.5703125" style="32" customWidth="1"/>
    <col min="39" max="39" width="18.140625" style="32" customWidth="1"/>
    <col min="40" max="16384" width="8.85546875" style="32"/>
  </cols>
  <sheetData>
    <row r="1" spans="1:40" x14ac:dyDescent="0.25">
      <c r="A1" s="48"/>
      <c r="B1" s="27" t="s">
        <v>47</v>
      </c>
      <c r="C1" s="27" t="s">
        <v>47</v>
      </c>
      <c r="D1" s="4" t="s">
        <v>48</v>
      </c>
      <c r="E1" s="4" t="s">
        <v>48</v>
      </c>
      <c r="F1" s="4" t="s">
        <v>49</v>
      </c>
      <c r="G1" s="4" t="s">
        <v>50</v>
      </c>
      <c r="H1" s="4" t="s">
        <v>51</v>
      </c>
      <c r="I1" s="4"/>
      <c r="J1" s="4" t="s">
        <v>52</v>
      </c>
      <c r="K1" s="27" t="s">
        <v>176</v>
      </c>
      <c r="M1" s="48"/>
      <c r="N1" s="27" t="s">
        <v>47</v>
      </c>
      <c r="O1" s="27" t="s">
        <v>47</v>
      </c>
      <c r="P1" s="4" t="s">
        <v>48</v>
      </c>
      <c r="Q1" s="4" t="s">
        <v>48</v>
      </c>
      <c r="R1" s="4" t="s">
        <v>49</v>
      </c>
      <c r="S1" s="4" t="s">
        <v>50</v>
      </c>
      <c r="T1" s="4" t="s">
        <v>51</v>
      </c>
      <c r="U1" s="29"/>
      <c r="V1" s="4" t="s">
        <v>52</v>
      </c>
      <c r="W1" s="4" t="s">
        <v>176</v>
      </c>
      <c r="Y1" s="48"/>
      <c r="Z1" s="27" t="s">
        <v>47</v>
      </c>
      <c r="AA1" s="27" t="s">
        <v>47</v>
      </c>
      <c r="AB1" s="4" t="s">
        <v>48</v>
      </c>
      <c r="AC1" s="4" t="s">
        <v>48</v>
      </c>
      <c r="AD1" s="4" t="s">
        <v>335</v>
      </c>
      <c r="AE1" s="4" t="s">
        <v>336</v>
      </c>
      <c r="AF1" s="4" t="s">
        <v>315</v>
      </c>
      <c r="AG1" s="29"/>
      <c r="AH1" s="4" t="s">
        <v>337</v>
      </c>
      <c r="AI1" s="4" t="s">
        <v>176</v>
      </c>
      <c r="AL1" s="48"/>
      <c r="AM1" s="79" t="s">
        <v>338</v>
      </c>
      <c r="AN1" s="79" t="s">
        <v>95</v>
      </c>
    </row>
    <row r="2" spans="1:40" x14ac:dyDescent="0.25">
      <c r="A2" s="18" t="s">
        <v>293</v>
      </c>
      <c r="B2" s="27">
        <v>0.04</v>
      </c>
      <c r="C2" s="27">
        <v>4.1000000000000002E-2</v>
      </c>
      <c r="D2" s="27">
        <v>2.7E-2</v>
      </c>
      <c r="E2" s="27">
        <v>2.8000000000000001E-2</v>
      </c>
      <c r="F2" s="27">
        <f>B2-D2</f>
        <v>1.3000000000000001E-2</v>
      </c>
      <c r="G2" s="27">
        <f>C2-E2</f>
        <v>1.3000000000000001E-2</v>
      </c>
      <c r="H2" s="27">
        <f>(((((F2+G2)/2)*5)/155)*1000)*3</f>
        <v>1.2580645161290323</v>
      </c>
      <c r="I2" s="27">
        <f>H2/10</f>
        <v>0.12580645161290321</v>
      </c>
      <c r="J2" s="27">
        <f>265.1-208.3</f>
        <v>56.800000000000011</v>
      </c>
      <c r="K2" s="54">
        <f>(I2*1000)/J2</f>
        <v>2.2149023171285771</v>
      </c>
      <c r="M2" s="18" t="s">
        <v>293</v>
      </c>
      <c r="N2" s="27">
        <v>4.8000000000000001E-2</v>
      </c>
      <c r="O2" s="27">
        <v>4.3999999999999997E-2</v>
      </c>
      <c r="P2" s="27">
        <v>3.6999999999999998E-2</v>
      </c>
      <c r="Q2" s="27">
        <v>3.3000000000000002E-2</v>
      </c>
      <c r="R2" s="27">
        <f>N2-P2</f>
        <v>1.1000000000000003E-2</v>
      </c>
      <c r="S2" s="27">
        <f>O2-Q2</f>
        <v>1.0999999999999996E-2</v>
      </c>
      <c r="T2" s="27">
        <f>(((((R2+S2)/2)*5)/155)*1000)*3</f>
        <v>1.064516129032258</v>
      </c>
      <c r="U2" s="53">
        <f>T2/10</f>
        <v>0.1064516129032258</v>
      </c>
      <c r="V2" s="27">
        <f>257.1-208.3</f>
        <v>48.800000000000011</v>
      </c>
      <c r="W2" s="54">
        <f>(U2*1000)/V2</f>
        <v>2.1813855103120035</v>
      </c>
      <c r="Y2" s="18" t="s">
        <v>293</v>
      </c>
      <c r="Z2" s="27">
        <v>4.5999999999999999E-2</v>
      </c>
      <c r="AA2" s="27">
        <v>4.4999999999999998E-2</v>
      </c>
      <c r="AB2" s="27">
        <v>3.7999999999999999E-2</v>
      </c>
      <c r="AC2" s="27">
        <v>3.5000000000000003E-2</v>
      </c>
      <c r="AD2" s="27">
        <f>Z2-AB2</f>
        <v>8.0000000000000002E-3</v>
      </c>
      <c r="AE2" s="27">
        <f>AA2-AC2</f>
        <v>9.999999999999995E-3</v>
      </c>
      <c r="AF2" s="27">
        <f>(((((AD2+AE2)/2)*5)/155)*1000)*3</f>
        <v>0.87096774193548354</v>
      </c>
      <c r="AG2" s="53">
        <f>AF2/10</f>
        <v>8.709677419354836E-2</v>
      </c>
      <c r="AH2" s="27">
        <f>248-208.3</f>
        <v>39.699999999999989</v>
      </c>
      <c r="AI2" s="28">
        <f>(AG2*1000)/AH2</f>
        <v>2.1938734053790525</v>
      </c>
      <c r="AL2" s="18" t="s">
        <v>293</v>
      </c>
      <c r="AM2" s="28">
        <f>AVERAGE(K2,W2,AI2)</f>
        <v>2.1967204109398781</v>
      </c>
      <c r="AN2" s="28">
        <f>STDEV(K2,W2,AI2)</f>
        <v>1.6938806489608604E-2</v>
      </c>
    </row>
    <row r="3" spans="1:40" x14ac:dyDescent="0.25">
      <c r="A3" s="15" t="s">
        <v>147</v>
      </c>
      <c r="B3" s="27">
        <v>4.7E-2</v>
      </c>
      <c r="C3" s="27">
        <v>4.8000000000000001E-2</v>
      </c>
      <c r="D3" s="27">
        <v>2.7E-2</v>
      </c>
      <c r="E3" s="27">
        <v>2.9000000000000001E-2</v>
      </c>
      <c r="F3" s="27">
        <f t="shared" ref="F3:G31" si="0">B3-D3</f>
        <v>0.02</v>
      </c>
      <c r="G3" s="27">
        <f t="shared" si="0"/>
        <v>1.9E-2</v>
      </c>
      <c r="H3" s="27">
        <f t="shared" ref="H3:H31" si="1">(((((F3+G3)/2)*5)/155)*1000)*3</f>
        <v>1.8870967741935485</v>
      </c>
      <c r="I3" s="27">
        <f t="shared" ref="I3:I31" si="2">H3/10</f>
        <v>0.18870967741935485</v>
      </c>
      <c r="J3" s="27">
        <f>272.8-210</f>
        <v>62.800000000000011</v>
      </c>
      <c r="K3" s="54">
        <f t="shared" ref="K3:K16" si="3">(I3*1000)/J3</f>
        <v>3.0049311690980067</v>
      </c>
      <c r="M3" s="15" t="s">
        <v>147</v>
      </c>
      <c r="N3" s="27">
        <v>5.3999999999999999E-2</v>
      </c>
      <c r="O3" s="27">
        <v>5.2999999999999999E-2</v>
      </c>
      <c r="P3" s="27">
        <v>0.04</v>
      </c>
      <c r="Q3" s="27">
        <v>3.9E-2</v>
      </c>
      <c r="R3" s="27">
        <f t="shared" ref="R3:S31" si="4">N3-P3</f>
        <v>1.3999999999999999E-2</v>
      </c>
      <c r="S3" s="27">
        <f t="shared" si="4"/>
        <v>1.3999999999999999E-2</v>
      </c>
      <c r="T3" s="27">
        <f t="shared" ref="T3:T31" si="5">(((((R3+S3)/2)*5)/155)*1000)*3</f>
        <v>1.3548387096774193</v>
      </c>
      <c r="U3" s="53">
        <f t="shared" ref="U3:U31" si="6">T3/10</f>
        <v>0.13548387096774192</v>
      </c>
      <c r="V3" s="27">
        <f>267.8-215</f>
        <v>52.800000000000011</v>
      </c>
      <c r="W3" s="54">
        <f t="shared" ref="W3:W31" si="7">(U3*1000)/V3</f>
        <v>2.5659824046920812</v>
      </c>
      <c r="Y3" s="15" t="s">
        <v>147</v>
      </c>
      <c r="Z3" s="27">
        <v>5.0999999999999997E-2</v>
      </c>
      <c r="AA3" s="27">
        <v>5.2999999999999999E-2</v>
      </c>
      <c r="AB3" s="27">
        <v>3.6999999999999998E-2</v>
      </c>
      <c r="AC3" s="27">
        <v>0.04</v>
      </c>
      <c r="AD3" s="27">
        <f t="shared" ref="AD3:AD31" si="8">Z3-AB3</f>
        <v>1.3999999999999999E-2</v>
      </c>
      <c r="AE3" s="27">
        <f t="shared" ref="AE3:AE31" si="9">AA3-AC3</f>
        <v>1.2999999999999998E-2</v>
      </c>
      <c r="AF3" s="27">
        <f t="shared" ref="AF3:AF16" si="10">(((((AD3+AE3)/2)*5)/155)*1000)*3</f>
        <v>1.3064516129032255</v>
      </c>
      <c r="AG3" s="53">
        <f t="shared" ref="AG3:AG31" si="11">AF3/10</f>
        <v>0.13064516129032255</v>
      </c>
      <c r="AH3" s="27">
        <f>264.8-215</f>
        <v>49.800000000000011</v>
      </c>
      <c r="AI3" s="28">
        <f t="shared" ref="AI3:AI31" si="12">(AG3*1000)/AH3</f>
        <v>2.6233968130586853</v>
      </c>
      <c r="AL3" s="15" t="s">
        <v>147</v>
      </c>
      <c r="AM3" s="28">
        <f t="shared" ref="AM3:AM31" si="13">AVERAGE(K3,W3,AI3)</f>
        <v>2.7314367956162577</v>
      </c>
      <c r="AN3" s="28">
        <f t="shared" ref="AN3:AN31" si="14">STDEV(K3,W3,AI3)</f>
        <v>0.23858642630429042</v>
      </c>
    </row>
    <row r="4" spans="1:40" x14ac:dyDescent="0.25">
      <c r="A4" s="15" t="s">
        <v>148</v>
      </c>
      <c r="B4" s="27">
        <v>4.8000000000000001E-2</v>
      </c>
      <c r="C4" s="27">
        <v>4.9000000000000002E-2</v>
      </c>
      <c r="D4" s="27">
        <v>2.8000000000000001E-2</v>
      </c>
      <c r="E4" s="27">
        <v>2.8000000000000001E-2</v>
      </c>
      <c r="F4" s="27">
        <f t="shared" si="0"/>
        <v>0.02</v>
      </c>
      <c r="G4" s="27">
        <f t="shared" si="0"/>
        <v>2.1000000000000001E-2</v>
      </c>
      <c r="H4" s="27">
        <f t="shared" si="1"/>
        <v>1.9838709677419355</v>
      </c>
      <c r="I4" s="27">
        <f t="shared" si="2"/>
        <v>0.19838709677419356</v>
      </c>
      <c r="J4" s="27">
        <f>276.5-219.4</f>
        <v>57.099999999999994</v>
      </c>
      <c r="K4" s="54">
        <f t="shared" si="3"/>
        <v>3.4743799785322871</v>
      </c>
      <c r="M4" s="15" t="s">
        <v>148</v>
      </c>
      <c r="N4" s="27">
        <v>4.9000000000000002E-2</v>
      </c>
      <c r="O4" s="27">
        <v>4.8000000000000001E-2</v>
      </c>
      <c r="P4" s="27">
        <v>3.5999999999999997E-2</v>
      </c>
      <c r="Q4" s="27">
        <v>3.4000000000000002E-2</v>
      </c>
      <c r="R4" s="27">
        <f t="shared" si="4"/>
        <v>1.3000000000000005E-2</v>
      </c>
      <c r="S4" s="27">
        <f t="shared" si="4"/>
        <v>1.3999999999999999E-2</v>
      </c>
      <c r="T4" s="27">
        <f t="shared" si="5"/>
        <v>1.3064516129032258</v>
      </c>
      <c r="U4" s="53">
        <f t="shared" si="6"/>
        <v>0.13064516129032258</v>
      </c>
      <c r="V4" s="27">
        <f>255.5-209.4</f>
        <v>46.099999999999994</v>
      </c>
      <c r="W4" s="54">
        <f t="shared" si="7"/>
        <v>2.8339514379679525</v>
      </c>
      <c r="Y4" s="15" t="s">
        <v>148</v>
      </c>
      <c r="Z4" s="27">
        <v>4.8000000000000001E-2</v>
      </c>
      <c r="AA4" s="27">
        <v>4.9000000000000002E-2</v>
      </c>
      <c r="AB4" s="27">
        <v>3.7999999999999999E-2</v>
      </c>
      <c r="AC4" s="27">
        <v>3.5000000000000003E-2</v>
      </c>
      <c r="AD4" s="27">
        <f t="shared" si="8"/>
        <v>1.0000000000000002E-2</v>
      </c>
      <c r="AE4" s="27">
        <f t="shared" si="9"/>
        <v>1.3999999999999999E-2</v>
      </c>
      <c r="AF4" s="27">
        <f t="shared" si="10"/>
        <v>1.161290322580645</v>
      </c>
      <c r="AG4" s="53">
        <f t="shared" si="11"/>
        <v>0.11612903225806451</v>
      </c>
      <c r="AH4" s="27">
        <f>255.5-212.4</f>
        <v>43.099999999999994</v>
      </c>
      <c r="AI4" s="28">
        <f t="shared" si="12"/>
        <v>2.6944091011151863</v>
      </c>
      <c r="AL4" s="15" t="s">
        <v>148</v>
      </c>
      <c r="AM4" s="28">
        <f t="shared" si="13"/>
        <v>3.0009135058718086</v>
      </c>
      <c r="AN4" s="28">
        <f t="shared" si="14"/>
        <v>0.41592774792474707</v>
      </c>
    </row>
    <row r="5" spans="1:40" x14ac:dyDescent="0.25">
      <c r="A5" s="16" t="s">
        <v>29</v>
      </c>
      <c r="B5" s="27">
        <v>4.8000000000000001E-2</v>
      </c>
      <c r="C5" s="27">
        <v>4.8000000000000001E-2</v>
      </c>
      <c r="D5" s="27">
        <v>2.8000000000000001E-2</v>
      </c>
      <c r="E5" s="27">
        <v>2.8000000000000001E-2</v>
      </c>
      <c r="F5" s="27">
        <f t="shared" si="0"/>
        <v>0.02</v>
      </c>
      <c r="G5" s="27">
        <f t="shared" si="0"/>
        <v>0.02</v>
      </c>
      <c r="H5" s="27">
        <f t="shared" si="1"/>
        <v>1.935483870967742</v>
      </c>
      <c r="I5" s="27">
        <f t="shared" si="2"/>
        <v>0.19354838709677419</v>
      </c>
      <c r="J5" s="27">
        <f>274.3-207.7</f>
        <v>66.600000000000023</v>
      </c>
      <c r="K5" s="54">
        <f t="shared" si="3"/>
        <v>2.9061319383900015</v>
      </c>
      <c r="M5" s="16" t="s">
        <v>29</v>
      </c>
      <c r="N5" s="27">
        <v>5.0999999999999997E-2</v>
      </c>
      <c r="O5" s="27">
        <v>0.05</v>
      </c>
      <c r="P5" s="27">
        <v>3.7999999999999999E-2</v>
      </c>
      <c r="Q5" s="27">
        <v>3.6999999999999998E-2</v>
      </c>
      <c r="R5" s="27">
        <f t="shared" si="4"/>
        <v>1.2999999999999998E-2</v>
      </c>
      <c r="S5" s="27">
        <f t="shared" si="4"/>
        <v>1.3000000000000005E-2</v>
      </c>
      <c r="T5" s="27">
        <f t="shared" si="5"/>
        <v>1.2580645161290323</v>
      </c>
      <c r="U5" s="53">
        <f t="shared" si="6"/>
        <v>0.12580645161290321</v>
      </c>
      <c r="V5" s="27">
        <f>254.3-207.7</f>
        <v>46.600000000000023</v>
      </c>
      <c r="W5" s="54">
        <f t="shared" si="7"/>
        <v>2.6997092620794669</v>
      </c>
      <c r="Y5" s="16" t="s">
        <v>29</v>
      </c>
      <c r="Z5" s="27">
        <v>5.0999999999999997E-2</v>
      </c>
      <c r="AA5" s="27">
        <v>5.0999999999999997E-2</v>
      </c>
      <c r="AB5" s="27">
        <v>3.9E-2</v>
      </c>
      <c r="AC5" s="27">
        <v>3.6999999999999998E-2</v>
      </c>
      <c r="AD5" s="27">
        <f t="shared" si="8"/>
        <v>1.1999999999999997E-2</v>
      </c>
      <c r="AE5" s="27">
        <f t="shared" si="9"/>
        <v>1.3999999999999999E-2</v>
      </c>
      <c r="AF5" s="27">
        <f t="shared" si="10"/>
        <v>1.258064516129032</v>
      </c>
      <c r="AG5" s="53">
        <f t="shared" si="11"/>
        <v>0.12580645161290321</v>
      </c>
      <c r="AH5" s="27">
        <f>251.3-207.7</f>
        <v>43.600000000000023</v>
      </c>
      <c r="AI5" s="28">
        <f t="shared" si="12"/>
        <v>2.8854690736904391</v>
      </c>
      <c r="AL5" s="16" t="s">
        <v>29</v>
      </c>
      <c r="AM5" s="28">
        <f t="shared" si="13"/>
        <v>2.8304367580533025</v>
      </c>
      <c r="AN5" s="28">
        <f t="shared" si="14"/>
        <v>0.11368375938140859</v>
      </c>
    </row>
    <row r="6" spans="1:40" x14ac:dyDescent="0.25">
      <c r="A6" s="16" t="s">
        <v>30</v>
      </c>
      <c r="B6" s="27">
        <v>4.3999999999999997E-2</v>
      </c>
      <c r="C6" s="27">
        <v>4.4999999999999998E-2</v>
      </c>
      <c r="D6" s="27">
        <v>2.5999999999999999E-2</v>
      </c>
      <c r="E6" s="27">
        <v>2.8000000000000001E-2</v>
      </c>
      <c r="F6" s="27">
        <f t="shared" si="0"/>
        <v>1.7999999999999999E-2</v>
      </c>
      <c r="G6" s="27">
        <f t="shared" si="0"/>
        <v>1.6999999999999998E-2</v>
      </c>
      <c r="H6" s="27">
        <f t="shared" si="1"/>
        <v>1.693548387096774</v>
      </c>
      <c r="I6" s="27">
        <f t="shared" si="2"/>
        <v>0.16935483870967741</v>
      </c>
      <c r="J6" s="27">
        <f>278.1-212.1</f>
        <v>66.000000000000028</v>
      </c>
      <c r="K6" s="54">
        <f t="shared" si="3"/>
        <v>2.5659824046920807</v>
      </c>
      <c r="M6" s="16" t="s">
        <v>30</v>
      </c>
      <c r="N6" s="27">
        <v>0.05</v>
      </c>
      <c r="O6" s="27">
        <v>0.05</v>
      </c>
      <c r="P6" s="27">
        <v>3.6999999999999998E-2</v>
      </c>
      <c r="Q6" s="27">
        <v>3.7999999999999999E-2</v>
      </c>
      <c r="R6" s="27">
        <f t="shared" si="4"/>
        <v>1.3000000000000005E-2</v>
      </c>
      <c r="S6" s="27">
        <f t="shared" si="4"/>
        <v>1.2000000000000004E-2</v>
      </c>
      <c r="T6" s="27">
        <f t="shared" si="5"/>
        <v>1.2096774193548392</v>
      </c>
      <c r="U6" s="53">
        <f t="shared" si="6"/>
        <v>0.12096774193548392</v>
      </c>
      <c r="V6" s="27">
        <f>268.1-212.1</f>
        <v>56.000000000000028</v>
      </c>
      <c r="W6" s="54">
        <f t="shared" si="7"/>
        <v>2.1601382488479262</v>
      </c>
      <c r="Y6" s="16" t="s">
        <v>30</v>
      </c>
      <c r="Z6" s="27">
        <v>5.6000000000000001E-2</v>
      </c>
      <c r="AA6" s="27">
        <v>5.1999999999999998E-2</v>
      </c>
      <c r="AB6" s="27">
        <v>3.6999999999999998E-2</v>
      </c>
      <c r="AC6" s="27">
        <v>3.9E-2</v>
      </c>
      <c r="AD6" s="27">
        <f t="shared" si="8"/>
        <v>1.9000000000000003E-2</v>
      </c>
      <c r="AE6" s="27">
        <f t="shared" si="9"/>
        <v>1.2999999999999998E-2</v>
      </c>
      <c r="AF6" s="27">
        <f t="shared" si="10"/>
        <v>1.5483870967741935</v>
      </c>
      <c r="AG6" s="53">
        <f t="shared" si="11"/>
        <v>0.15483870967741936</v>
      </c>
      <c r="AH6" s="27">
        <f>264.1-212.1</f>
        <v>52.000000000000028</v>
      </c>
      <c r="AI6" s="28">
        <f t="shared" si="12"/>
        <v>2.9776674937965244</v>
      </c>
      <c r="AL6" s="16" t="s">
        <v>30</v>
      </c>
      <c r="AM6" s="28">
        <f t="shared" si="13"/>
        <v>2.5679293824455107</v>
      </c>
      <c r="AN6" s="28">
        <f t="shared" si="14"/>
        <v>0.40876810006204645</v>
      </c>
    </row>
    <row r="7" spans="1:40" x14ac:dyDescent="0.25">
      <c r="A7" s="17" t="s">
        <v>149</v>
      </c>
      <c r="B7" s="27">
        <v>6.9000000000000006E-2</v>
      </c>
      <c r="C7" s="27">
        <v>6.7000000000000004E-2</v>
      </c>
      <c r="D7" s="27">
        <v>3.3000000000000002E-2</v>
      </c>
      <c r="E7" s="27">
        <v>3.3000000000000002E-2</v>
      </c>
      <c r="F7" s="27">
        <f t="shared" si="0"/>
        <v>3.6000000000000004E-2</v>
      </c>
      <c r="G7" s="27">
        <f t="shared" si="0"/>
        <v>3.4000000000000002E-2</v>
      </c>
      <c r="H7" s="27">
        <f t="shared" si="1"/>
        <v>3.3870967741935489</v>
      </c>
      <c r="I7" s="27">
        <f t="shared" si="2"/>
        <v>0.33870967741935487</v>
      </c>
      <c r="J7" s="27">
        <f>270.1-212.4</f>
        <v>57.700000000000017</v>
      </c>
      <c r="K7" s="54">
        <f t="shared" si="3"/>
        <v>5.8701850505954036</v>
      </c>
      <c r="M7" s="17" t="s">
        <v>149</v>
      </c>
      <c r="N7" s="27">
        <v>6.8000000000000005E-2</v>
      </c>
      <c r="O7" s="27">
        <v>6.7000000000000004E-2</v>
      </c>
      <c r="P7" s="27">
        <v>4.3999999999999997E-2</v>
      </c>
      <c r="Q7" s="27">
        <v>4.5999999999999999E-2</v>
      </c>
      <c r="R7" s="27">
        <f t="shared" si="4"/>
        <v>2.4000000000000007E-2</v>
      </c>
      <c r="S7" s="27">
        <f t="shared" si="4"/>
        <v>2.1000000000000005E-2</v>
      </c>
      <c r="T7" s="27">
        <f t="shared" si="5"/>
        <v>2.17741935483871</v>
      </c>
      <c r="U7" s="53">
        <f t="shared" si="6"/>
        <v>0.217741935483871</v>
      </c>
      <c r="V7" s="27">
        <f>250.1-212.4</f>
        <v>37.699999999999989</v>
      </c>
      <c r="W7" s="54">
        <f t="shared" si="7"/>
        <v>5.7756481560708508</v>
      </c>
      <c r="Y7" s="17" t="s">
        <v>149</v>
      </c>
      <c r="Z7" s="27">
        <v>7.5999999999999998E-2</v>
      </c>
      <c r="AA7" s="27">
        <v>6.6000000000000003E-2</v>
      </c>
      <c r="AB7" s="27">
        <v>4.5999999999999999E-2</v>
      </c>
      <c r="AC7" s="27">
        <v>4.8000000000000001E-2</v>
      </c>
      <c r="AD7" s="27">
        <f t="shared" si="8"/>
        <v>0.03</v>
      </c>
      <c r="AE7" s="27">
        <f t="shared" si="9"/>
        <v>1.8000000000000002E-2</v>
      </c>
      <c r="AF7" s="27">
        <f t="shared" si="10"/>
        <v>2.32258064516129</v>
      </c>
      <c r="AG7" s="53">
        <f t="shared" si="11"/>
        <v>0.23225806451612901</v>
      </c>
      <c r="AH7" s="27">
        <f>249.1-209.4</f>
        <v>39.699999999999989</v>
      </c>
      <c r="AI7" s="28">
        <f t="shared" si="12"/>
        <v>5.8503290810108082</v>
      </c>
      <c r="AL7" s="17" t="s">
        <v>149</v>
      </c>
      <c r="AM7" s="28">
        <f t="shared" si="13"/>
        <v>5.8320540958923539</v>
      </c>
      <c r="AN7" s="28">
        <f t="shared" si="14"/>
        <v>4.9847642044497875E-2</v>
      </c>
    </row>
    <row r="8" spans="1:40" x14ac:dyDescent="0.25">
      <c r="A8" s="17" t="s">
        <v>150</v>
      </c>
      <c r="B8" s="27">
        <v>7.9000000000000001E-2</v>
      </c>
      <c r="C8" s="27">
        <v>8.4000000000000005E-2</v>
      </c>
      <c r="D8" s="27">
        <v>3.5000000000000003E-2</v>
      </c>
      <c r="E8" s="27">
        <v>3.6999999999999998E-2</v>
      </c>
      <c r="F8" s="27">
        <f t="shared" si="0"/>
        <v>4.3999999999999997E-2</v>
      </c>
      <c r="G8" s="27">
        <f t="shared" si="0"/>
        <v>4.7000000000000007E-2</v>
      </c>
      <c r="H8" s="27">
        <f t="shared" si="1"/>
        <v>4.4032258064516121</v>
      </c>
      <c r="I8" s="27">
        <f t="shared" si="2"/>
        <v>0.44032258064516122</v>
      </c>
      <c r="J8" s="27">
        <f>277.7-210</f>
        <v>67.699999999999989</v>
      </c>
      <c r="K8" s="54">
        <f t="shared" si="3"/>
        <v>6.5040263019964737</v>
      </c>
      <c r="M8" s="17" t="s">
        <v>150</v>
      </c>
      <c r="N8" s="27">
        <v>7.9000000000000001E-2</v>
      </c>
      <c r="O8" s="27">
        <v>8.3000000000000004E-2</v>
      </c>
      <c r="P8" s="27">
        <v>4.2999999999999997E-2</v>
      </c>
      <c r="Q8" s="27">
        <v>4.7E-2</v>
      </c>
      <c r="R8" s="27">
        <f t="shared" si="4"/>
        <v>3.6000000000000004E-2</v>
      </c>
      <c r="S8" s="27">
        <f t="shared" si="4"/>
        <v>3.6000000000000004E-2</v>
      </c>
      <c r="T8" s="27">
        <f t="shared" si="5"/>
        <v>3.4838709677419359</v>
      </c>
      <c r="U8" s="53">
        <f t="shared" si="6"/>
        <v>0.34838709677419361</v>
      </c>
      <c r="V8" s="27">
        <f>264.7-210</f>
        <v>54.699999999999989</v>
      </c>
      <c r="W8" s="54">
        <f t="shared" si="7"/>
        <v>6.3690511293271239</v>
      </c>
      <c r="Y8" s="17" t="s">
        <v>150</v>
      </c>
      <c r="Z8" s="27">
        <v>7.5999999999999998E-2</v>
      </c>
      <c r="AA8" s="27">
        <v>7.9000000000000001E-2</v>
      </c>
      <c r="AB8" s="27">
        <v>4.4999999999999998E-2</v>
      </c>
      <c r="AC8" s="27">
        <v>4.7E-2</v>
      </c>
      <c r="AD8" s="27">
        <f t="shared" si="8"/>
        <v>3.1E-2</v>
      </c>
      <c r="AE8" s="27">
        <f t="shared" si="9"/>
        <v>3.2000000000000001E-2</v>
      </c>
      <c r="AF8" s="27">
        <f t="shared" si="10"/>
        <v>3.0483870967741935</v>
      </c>
      <c r="AG8" s="53">
        <f t="shared" si="11"/>
        <v>0.30483870967741933</v>
      </c>
      <c r="AH8" s="27">
        <f>261.7-210</f>
        <v>51.699999999999989</v>
      </c>
      <c r="AI8" s="28">
        <f t="shared" si="12"/>
        <v>5.8962999937605298</v>
      </c>
      <c r="AL8" s="17" t="s">
        <v>150</v>
      </c>
      <c r="AM8" s="28">
        <f t="shared" si="13"/>
        <v>6.2564591416947088</v>
      </c>
      <c r="AN8" s="28">
        <f t="shared" si="14"/>
        <v>0.31912463582397665</v>
      </c>
    </row>
    <row r="9" spans="1:40" x14ac:dyDescent="0.25">
      <c r="A9" s="16" t="s">
        <v>151</v>
      </c>
      <c r="B9" s="27">
        <v>4.8000000000000001E-2</v>
      </c>
      <c r="C9" s="27">
        <v>4.8000000000000001E-2</v>
      </c>
      <c r="D9" s="27">
        <v>2.5999999999999999E-2</v>
      </c>
      <c r="E9" s="27">
        <v>2.9000000000000001E-2</v>
      </c>
      <c r="F9" s="27">
        <f t="shared" si="0"/>
        <v>2.2000000000000002E-2</v>
      </c>
      <c r="G9" s="27">
        <f t="shared" si="0"/>
        <v>1.9E-2</v>
      </c>
      <c r="H9" s="27">
        <f t="shared" si="1"/>
        <v>1.9838709677419355</v>
      </c>
      <c r="I9" s="27">
        <f t="shared" si="2"/>
        <v>0.19838709677419356</v>
      </c>
      <c r="J9" s="27">
        <f>262.7-200.7</f>
        <v>62</v>
      </c>
      <c r="K9" s="54">
        <f t="shared" si="3"/>
        <v>3.199791883454735</v>
      </c>
      <c r="M9" s="16" t="s">
        <v>151</v>
      </c>
      <c r="N9" s="27">
        <v>5.0999999999999997E-2</v>
      </c>
      <c r="O9" s="27">
        <v>5.2999999999999999E-2</v>
      </c>
      <c r="P9" s="27">
        <v>3.5000000000000003E-2</v>
      </c>
      <c r="Q9" s="27">
        <v>3.6999999999999998E-2</v>
      </c>
      <c r="R9" s="27">
        <f t="shared" si="4"/>
        <v>1.5999999999999993E-2</v>
      </c>
      <c r="S9" s="27">
        <f t="shared" si="4"/>
        <v>1.6E-2</v>
      </c>
      <c r="T9" s="27">
        <f t="shared" si="5"/>
        <v>1.5483870967741931</v>
      </c>
      <c r="U9" s="53">
        <f t="shared" si="6"/>
        <v>0.15483870967741931</v>
      </c>
      <c r="V9" s="27">
        <f>252.7-200.7</f>
        <v>52</v>
      </c>
      <c r="W9" s="54">
        <f t="shared" si="7"/>
        <v>2.9776674937965248</v>
      </c>
      <c r="Y9" s="16" t="s">
        <v>151</v>
      </c>
      <c r="Z9" s="27">
        <v>4.9000000000000002E-2</v>
      </c>
      <c r="AA9" s="27">
        <v>5.3999999999999999E-2</v>
      </c>
      <c r="AB9" s="27">
        <v>3.5999999999999997E-2</v>
      </c>
      <c r="AC9" s="27">
        <v>3.6999999999999998E-2</v>
      </c>
      <c r="AD9" s="27">
        <f t="shared" si="8"/>
        <v>1.3000000000000005E-2</v>
      </c>
      <c r="AE9" s="27">
        <f t="shared" si="9"/>
        <v>1.7000000000000001E-2</v>
      </c>
      <c r="AF9" s="27">
        <f t="shared" si="10"/>
        <v>1.4516129032258067</v>
      </c>
      <c r="AG9" s="53">
        <f t="shared" si="11"/>
        <v>0.14516129032258068</v>
      </c>
      <c r="AH9" s="27">
        <f>249.7-200.7</f>
        <v>49</v>
      </c>
      <c r="AI9" s="28">
        <f t="shared" si="12"/>
        <v>2.9624753127057279</v>
      </c>
      <c r="AL9" s="16" t="s">
        <v>151</v>
      </c>
      <c r="AM9" s="28">
        <f t="shared" si="13"/>
        <v>3.0466448966523294</v>
      </c>
      <c r="AN9" s="28">
        <f t="shared" si="14"/>
        <v>0.13284652899705759</v>
      </c>
    </row>
    <row r="10" spans="1:40" x14ac:dyDescent="0.25">
      <c r="A10" s="16" t="s">
        <v>152</v>
      </c>
      <c r="B10" s="27">
        <v>4.2999999999999997E-2</v>
      </c>
      <c r="C10" s="27">
        <v>4.2999999999999997E-2</v>
      </c>
      <c r="D10" s="27">
        <v>2.5999999999999999E-2</v>
      </c>
      <c r="E10" s="27">
        <v>2.5999999999999999E-2</v>
      </c>
      <c r="F10" s="27">
        <f t="shared" si="0"/>
        <v>1.6999999999999998E-2</v>
      </c>
      <c r="G10" s="27">
        <f t="shared" si="0"/>
        <v>1.6999999999999998E-2</v>
      </c>
      <c r="H10" s="27">
        <f t="shared" si="1"/>
        <v>1.6451612903225805</v>
      </c>
      <c r="I10" s="27">
        <f t="shared" si="2"/>
        <v>0.16451612903225804</v>
      </c>
      <c r="J10" s="27">
        <f>250.3-200.9</f>
        <v>49.400000000000006</v>
      </c>
      <c r="K10" s="54">
        <f t="shared" si="3"/>
        <v>3.3302860127987457</v>
      </c>
      <c r="M10" s="16" t="s">
        <v>152</v>
      </c>
      <c r="N10" s="27">
        <v>0.05</v>
      </c>
      <c r="O10" s="27">
        <v>0.05</v>
      </c>
      <c r="P10" s="27">
        <v>3.7999999999999999E-2</v>
      </c>
      <c r="Q10" s="27">
        <v>0.04</v>
      </c>
      <c r="R10" s="27">
        <f t="shared" si="4"/>
        <v>1.2000000000000004E-2</v>
      </c>
      <c r="S10" s="27">
        <f t="shared" si="4"/>
        <v>1.0000000000000002E-2</v>
      </c>
      <c r="T10" s="27">
        <f t="shared" si="5"/>
        <v>1.0645161290322582</v>
      </c>
      <c r="U10" s="53">
        <f t="shared" si="6"/>
        <v>0.10645161290322583</v>
      </c>
      <c r="V10" s="27">
        <f>250.3-214.9</f>
        <v>35.400000000000006</v>
      </c>
      <c r="W10" s="54">
        <f t="shared" si="7"/>
        <v>3.0071077091306724</v>
      </c>
      <c r="Y10" s="16" t="s">
        <v>152</v>
      </c>
      <c r="Z10" s="27">
        <v>0.05</v>
      </c>
      <c r="AA10" s="27">
        <v>5.1999999999999998E-2</v>
      </c>
      <c r="AB10" s="27">
        <v>3.7999999999999999E-2</v>
      </c>
      <c r="AC10" s="27">
        <v>4.1000000000000002E-2</v>
      </c>
      <c r="AD10" s="27">
        <f t="shared" si="8"/>
        <v>1.2000000000000004E-2</v>
      </c>
      <c r="AE10" s="27">
        <f t="shared" si="9"/>
        <v>1.0999999999999996E-2</v>
      </c>
      <c r="AF10" s="27">
        <f t="shared" si="10"/>
        <v>1.1129032258064515</v>
      </c>
      <c r="AG10" s="53">
        <f t="shared" si="11"/>
        <v>0.11129032258064515</v>
      </c>
      <c r="AH10" s="27">
        <f>250.3-214.9</f>
        <v>35.400000000000006</v>
      </c>
      <c r="AI10" s="28">
        <f t="shared" si="12"/>
        <v>3.143794423182066</v>
      </c>
      <c r="AL10" s="16" t="s">
        <v>152</v>
      </c>
      <c r="AM10" s="28">
        <f t="shared" si="13"/>
        <v>3.1603960483704951</v>
      </c>
      <c r="AN10" s="28">
        <f t="shared" si="14"/>
        <v>0.16222750833202165</v>
      </c>
    </row>
    <row r="11" spans="1:40" x14ac:dyDescent="0.25">
      <c r="A11" s="16" t="s">
        <v>153</v>
      </c>
      <c r="B11" s="27">
        <v>4.2000000000000003E-2</v>
      </c>
      <c r="C11" s="27">
        <v>4.2999999999999997E-2</v>
      </c>
      <c r="D11" s="27">
        <v>2.5000000000000001E-2</v>
      </c>
      <c r="E11" s="27">
        <v>2.5999999999999999E-2</v>
      </c>
      <c r="F11" s="27">
        <f t="shared" si="0"/>
        <v>1.7000000000000001E-2</v>
      </c>
      <c r="G11" s="27">
        <f t="shared" si="0"/>
        <v>1.6999999999999998E-2</v>
      </c>
      <c r="H11" s="27">
        <f t="shared" si="1"/>
        <v>1.645161290322581</v>
      </c>
      <c r="I11" s="27">
        <f t="shared" si="2"/>
        <v>0.1645161290322581</v>
      </c>
      <c r="J11" s="27">
        <f>267.1-209.1</f>
        <v>58.000000000000028</v>
      </c>
      <c r="K11" s="54">
        <f t="shared" si="3"/>
        <v>2.8364849833147936</v>
      </c>
      <c r="M11" s="16" t="s">
        <v>153</v>
      </c>
      <c r="N11" s="27">
        <v>4.2999999999999997E-2</v>
      </c>
      <c r="O11" s="27">
        <v>4.3999999999999997E-2</v>
      </c>
      <c r="P11" s="27">
        <v>3.3000000000000002E-2</v>
      </c>
      <c r="Q11" s="27">
        <v>3.2000000000000001E-2</v>
      </c>
      <c r="R11" s="27">
        <f t="shared" si="4"/>
        <v>9.999999999999995E-3</v>
      </c>
      <c r="S11" s="27">
        <f t="shared" si="4"/>
        <v>1.1999999999999997E-2</v>
      </c>
      <c r="T11" s="27">
        <f t="shared" si="5"/>
        <v>1.0645161290322576</v>
      </c>
      <c r="U11" s="53">
        <f t="shared" si="6"/>
        <v>0.10645161290322576</v>
      </c>
      <c r="V11" s="27">
        <f>257.1-209.1</f>
        <v>48.000000000000028</v>
      </c>
      <c r="W11" s="54">
        <f t="shared" si="7"/>
        <v>2.2177419354838688</v>
      </c>
      <c r="Y11" s="16" t="s">
        <v>153</v>
      </c>
      <c r="Z11" s="27">
        <v>4.5999999999999999E-2</v>
      </c>
      <c r="AA11" s="27">
        <v>4.3999999999999997E-2</v>
      </c>
      <c r="AB11" s="27">
        <v>3.4000000000000002E-2</v>
      </c>
      <c r="AC11" s="27">
        <v>3.3000000000000002E-2</v>
      </c>
      <c r="AD11" s="27">
        <f t="shared" si="8"/>
        <v>1.1999999999999997E-2</v>
      </c>
      <c r="AE11" s="27">
        <f t="shared" si="9"/>
        <v>1.0999999999999996E-2</v>
      </c>
      <c r="AF11" s="27">
        <f t="shared" si="10"/>
        <v>1.1129032258064513</v>
      </c>
      <c r="AG11" s="53">
        <f t="shared" si="11"/>
        <v>0.11129032258064513</v>
      </c>
      <c r="AH11" s="27">
        <f>254.1-209.1</f>
        <v>45</v>
      </c>
      <c r="AI11" s="28">
        <f t="shared" si="12"/>
        <v>2.4731182795698916</v>
      </c>
      <c r="AL11" s="16" t="s">
        <v>153</v>
      </c>
      <c r="AM11" s="28">
        <f t="shared" si="13"/>
        <v>2.5091150661228512</v>
      </c>
      <c r="AN11" s="28">
        <f t="shared" si="14"/>
        <v>0.31093820333207611</v>
      </c>
    </row>
    <row r="12" spans="1:40" x14ac:dyDescent="0.25">
      <c r="A12" s="16" t="s">
        <v>154</v>
      </c>
      <c r="B12" s="27">
        <v>0.05</v>
      </c>
      <c r="C12" s="27">
        <v>4.5999999999999999E-2</v>
      </c>
      <c r="D12" s="27">
        <v>2.5000000000000001E-2</v>
      </c>
      <c r="E12" s="27">
        <v>2.9000000000000001E-2</v>
      </c>
      <c r="F12" s="27">
        <f t="shared" si="0"/>
        <v>2.5000000000000001E-2</v>
      </c>
      <c r="G12" s="27">
        <f t="shared" si="0"/>
        <v>1.6999999999999998E-2</v>
      </c>
      <c r="H12" s="27">
        <f t="shared" si="1"/>
        <v>2.032258064516129</v>
      </c>
      <c r="I12" s="27">
        <f t="shared" si="2"/>
        <v>0.20322580645161289</v>
      </c>
      <c r="J12" s="27">
        <f>254.4-199.7</f>
        <v>54.700000000000017</v>
      </c>
      <c r="K12" s="54">
        <f t="shared" si="3"/>
        <v>3.7152798254408195</v>
      </c>
      <c r="M12" s="16" t="s">
        <v>154</v>
      </c>
      <c r="N12" s="27">
        <v>8.7999999999999995E-2</v>
      </c>
      <c r="O12" s="27">
        <v>8.5999999999999993E-2</v>
      </c>
      <c r="P12" s="27">
        <v>6.8000000000000005E-2</v>
      </c>
      <c r="Q12" s="27">
        <v>6.8000000000000005E-2</v>
      </c>
      <c r="R12" s="27">
        <f t="shared" si="4"/>
        <v>1.999999999999999E-2</v>
      </c>
      <c r="S12" s="27">
        <f t="shared" si="4"/>
        <v>1.7999999999999988E-2</v>
      </c>
      <c r="T12" s="27">
        <f t="shared" si="5"/>
        <v>1.8387096774193539</v>
      </c>
      <c r="U12" s="53">
        <f t="shared" si="6"/>
        <v>0.1838709677419354</v>
      </c>
      <c r="V12" s="27">
        <f>254.4-199.7</f>
        <v>54.700000000000017</v>
      </c>
      <c r="W12" s="54">
        <f t="shared" si="7"/>
        <v>3.3614436515893118</v>
      </c>
      <c r="Y12" s="16" t="s">
        <v>154</v>
      </c>
      <c r="Z12" s="27">
        <v>8.5999999999999993E-2</v>
      </c>
      <c r="AA12" s="27">
        <v>8.6999999999999994E-2</v>
      </c>
      <c r="AB12" s="27">
        <v>6.7000000000000004E-2</v>
      </c>
      <c r="AC12" s="27">
        <v>6.5000000000000002E-2</v>
      </c>
      <c r="AD12" s="27">
        <f t="shared" si="8"/>
        <v>1.8999999999999989E-2</v>
      </c>
      <c r="AE12" s="27">
        <f t="shared" si="9"/>
        <v>2.1999999999999992E-2</v>
      </c>
      <c r="AF12" s="27">
        <f t="shared" si="10"/>
        <v>1.9838709677419344</v>
      </c>
      <c r="AG12" s="53">
        <f t="shared" si="11"/>
        <v>0.19838709677419344</v>
      </c>
      <c r="AH12" s="27">
        <f>252.4-199.7</f>
        <v>52.700000000000017</v>
      </c>
      <c r="AI12" s="28">
        <f t="shared" si="12"/>
        <v>3.7644610393585083</v>
      </c>
      <c r="AL12" s="16" t="s">
        <v>154</v>
      </c>
      <c r="AM12" s="28">
        <f t="shared" si="13"/>
        <v>3.6137281721295467</v>
      </c>
      <c r="AN12" s="28">
        <f t="shared" si="14"/>
        <v>0.21986429321007642</v>
      </c>
    </row>
    <row r="13" spans="1:40" x14ac:dyDescent="0.25">
      <c r="A13" s="17" t="s">
        <v>155</v>
      </c>
      <c r="B13" s="27">
        <v>7.1999999999999995E-2</v>
      </c>
      <c r="C13" s="27">
        <v>7.1999999999999995E-2</v>
      </c>
      <c r="D13" s="27">
        <v>3.6999999999999998E-2</v>
      </c>
      <c r="E13" s="27">
        <v>3.6999999999999998E-2</v>
      </c>
      <c r="F13" s="27">
        <f t="shared" si="0"/>
        <v>3.4999999999999996E-2</v>
      </c>
      <c r="G13" s="27">
        <f t="shared" si="0"/>
        <v>3.4999999999999996E-2</v>
      </c>
      <c r="H13" s="27">
        <f t="shared" si="1"/>
        <v>3.387096774193548</v>
      </c>
      <c r="I13" s="27">
        <f t="shared" si="2"/>
        <v>0.33870967741935482</v>
      </c>
      <c r="J13" s="27">
        <f>263.9-209.2</f>
        <v>54.699999999999989</v>
      </c>
      <c r="K13" s="54">
        <f t="shared" si="3"/>
        <v>6.1921330424013687</v>
      </c>
      <c r="M13" s="17" t="s">
        <v>155</v>
      </c>
      <c r="N13" s="27">
        <v>7.3999999999999996E-2</v>
      </c>
      <c r="O13" s="27">
        <v>7.1999999999999995E-2</v>
      </c>
      <c r="P13" s="27">
        <v>3.1E-2</v>
      </c>
      <c r="Q13" s="27">
        <v>4.4999999999999998E-2</v>
      </c>
      <c r="R13" s="27">
        <f t="shared" si="4"/>
        <v>4.2999999999999997E-2</v>
      </c>
      <c r="S13" s="27">
        <f t="shared" si="4"/>
        <v>2.6999999999999996E-2</v>
      </c>
      <c r="T13" s="27">
        <f t="shared" si="5"/>
        <v>3.387096774193548</v>
      </c>
      <c r="U13" s="53">
        <f t="shared" si="6"/>
        <v>0.33870967741935482</v>
      </c>
      <c r="V13" s="27">
        <f>263.9-205.2</f>
        <v>58.699999999999989</v>
      </c>
      <c r="W13" s="54">
        <f t="shared" si="7"/>
        <v>5.7701818981150748</v>
      </c>
      <c r="Y13" s="17" t="s">
        <v>155</v>
      </c>
      <c r="Z13" s="27">
        <v>7.1999999999999995E-2</v>
      </c>
      <c r="AA13" s="27">
        <v>7.3999999999999996E-2</v>
      </c>
      <c r="AB13" s="27">
        <v>3.2000000000000001E-2</v>
      </c>
      <c r="AC13" s="27">
        <v>4.3999999999999997E-2</v>
      </c>
      <c r="AD13" s="27">
        <f t="shared" si="8"/>
        <v>3.9999999999999994E-2</v>
      </c>
      <c r="AE13" s="27">
        <f t="shared" si="9"/>
        <v>0.03</v>
      </c>
      <c r="AF13" s="27">
        <f t="shared" si="10"/>
        <v>3.387096774193548</v>
      </c>
      <c r="AG13" s="53">
        <f t="shared" si="11"/>
        <v>0.33870967741935482</v>
      </c>
      <c r="AH13" s="27">
        <f>264.9-205.2</f>
        <v>59.699999999999989</v>
      </c>
      <c r="AI13" s="28">
        <f t="shared" si="12"/>
        <v>5.6735289349975693</v>
      </c>
      <c r="AL13" s="17" t="s">
        <v>155</v>
      </c>
      <c r="AM13" s="28">
        <f t="shared" si="13"/>
        <v>5.8786146251713376</v>
      </c>
      <c r="AN13" s="28">
        <f t="shared" si="14"/>
        <v>0.27578215547178969</v>
      </c>
    </row>
    <row r="14" spans="1:40" x14ac:dyDescent="0.25">
      <c r="A14" s="17" t="s">
        <v>156</v>
      </c>
      <c r="B14" s="27">
        <v>7.2999999999999995E-2</v>
      </c>
      <c r="C14" s="27">
        <v>7.2999999999999995E-2</v>
      </c>
      <c r="D14" s="27">
        <v>3.1E-2</v>
      </c>
      <c r="E14" s="27">
        <v>3.2000000000000001E-2</v>
      </c>
      <c r="F14" s="27">
        <f t="shared" si="0"/>
        <v>4.1999999999999996E-2</v>
      </c>
      <c r="G14" s="27">
        <f t="shared" si="0"/>
        <v>4.0999999999999995E-2</v>
      </c>
      <c r="H14" s="27">
        <f t="shared" si="1"/>
        <v>4.0161290322580641</v>
      </c>
      <c r="I14" s="27">
        <f t="shared" si="2"/>
        <v>0.40161290322580639</v>
      </c>
      <c r="J14" s="27">
        <f>253.1-193.5</f>
        <v>59.599999999999994</v>
      </c>
      <c r="K14" s="54">
        <f t="shared" si="3"/>
        <v>6.7384715306343361</v>
      </c>
      <c r="M14" s="17" t="s">
        <v>156</v>
      </c>
      <c r="N14" s="27">
        <v>7.8E-2</v>
      </c>
      <c r="O14" s="27">
        <v>7.9000000000000001E-2</v>
      </c>
      <c r="P14" s="27">
        <v>0.04</v>
      </c>
      <c r="Q14" s="27">
        <v>5.6000000000000001E-2</v>
      </c>
      <c r="R14" s="27">
        <f t="shared" si="4"/>
        <v>3.7999999999999999E-2</v>
      </c>
      <c r="S14" s="27">
        <f t="shared" si="4"/>
        <v>2.3E-2</v>
      </c>
      <c r="T14" s="27">
        <f t="shared" si="5"/>
        <v>2.9516129032258061</v>
      </c>
      <c r="U14" s="53">
        <f t="shared" si="6"/>
        <v>0.29516129032258059</v>
      </c>
      <c r="V14" s="27">
        <f>243.1-193.5</f>
        <v>49.599999999999994</v>
      </c>
      <c r="W14" s="54">
        <f t="shared" si="7"/>
        <v>5.950832466181061</v>
      </c>
      <c r="Y14" s="17" t="s">
        <v>156</v>
      </c>
      <c r="Z14" s="27">
        <v>7.9000000000000001E-2</v>
      </c>
      <c r="AA14" s="27">
        <v>7.5999999999999998E-2</v>
      </c>
      <c r="AB14" s="27">
        <v>0.04</v>
      </c>
      <c r="AC14" s="27">
        <v>5.3999999999999999E-2</v>
      </c>
      <c r="AD14" s="27">
        <f t="shared" si="8"/>
        <v>3.9E-2</v>
      </c>
      <c r="AE14" s="27">
        <f t="shared" si="9"/>
        <v>2.1999999999999999E-2</v>
      </c>
      <c r="AF14" s="27">
        <f t="shared" si="10"/>
        <v>2.9516129032258061</v>
      </c>
      <c r="AG14" s="53">
        <f t="shared" si="11"/>
        <v>0.29516129032258059</v>
      </c>
      <c r="AH14" s="27">
        <f>245.1-193.5</f>
        <v>51.599999999999994</v>
      </c>
      <c r="AI14" s="28">
        <f t="shared" si="12"/>
        <v>5.7201800450112525</v>
      </c>
      <c r="AL14" s="17" t="s">
        <v>156</v>
      </c>
      <c r="AM14" s="28">
        <f t="shared" si="13"/>
        <v>6.1364946806088838</v>
      </c>
      <c r="AN14" s="28">
        <f t="shared" si="14"/>
        <v>0.53393092326891745</v>
      </c>
    </row>
    <row r="15" spans="1:40" x14ac:dyDescent="0.25">
      <c r="A15" s="17" t="s">
        <v>157</v>
      </c>
      <c r="B15" s="27">
        <v>7.4999999999999997E-2</v>
      </c>
      <c r="C15" s="27">
        <v>7.0999999999999994E-2</v>
      </c>
      <c r="D15" s="27">
        <v>3.5000000000000003E-2</v>
      </c>
      <c r="E15" s="27">
        <v>3.5000000000000003E-2</v>
      </c>
      <c r="F15" s="27">
        <f t="shared" si="0"/>
        <v>3.9999999999999994E-2</v>
      </c>
      <c r="G15" s="27">
        <f t="shared" si="0"/>
        <v>3.599999999999999E-2</v>
      </c>
      <c r="H15" s="27">
        <f t="shared" si="1"/>
        <v>3.6774193548387091</v>
      </c>
      <c r="I15" s="27">
        <f t="shared" si="2"/>
        <v>0.36774193548387091</v>
      </c>
      <c r="J15" s="27">
        <f>250.9-196.2</f>
        <v>54.700000000000017</v>
      </c>
      <c r="K15" s="54">
        <f t="shared" si="3"/>
        <v>6.7228873031786254</v>
      </c>
      <c r="M15" s="17" t="s">
        <v>157</v>
      </c>
      <c r="N15" s="27">
        <v>7.9000000000000001E-2</v>
      </c>
      <c r="O15" s="27">
        <v>7.8E-2</v>
      </c>
      <c r="P15" s="27">
        <v>4.5999999999999999E-2</v>
      </c>
      <c r="Q15" s="27">
        <v>4.2999999999999997E-2</v>
      </c>
      <c r="R15" s="27">
        <f t="shared" si="4"/>
        <v>3.3000000000000002E-2</v>
      </c>
      <c r="S15" s="27">
        <f t="shared" si="4"/>
        <v>3.5000000000000003E-2</v>
      </c>
      <c r="T15" s="27">
        <f t="shared" si="5"/>
        <v>3.2903225806451619</v>
      </c>
      <c r="U15" s="53">
        <f t="shared" si="6"/>
        <v>0.32903225806451619</v>
      </c>
      <c r="V15" s="27">
        <f>250.9-196.2</f>
        <v>54.700000000000017</v>
      </c>
      <c r="W15" s="54">
        <f t="shared" si="7"/>
        <v>6.0152149554756145</v>
      </c>
      <c r="Y15" s="17" t="s">
        <v>157</v>
      </c>
      <c r="Z15" s="27">
        <v>8.5000000000000006E-2</v>
      </c>
      <c r="AA15" s="27">
        <v>7.2999999999999995E-2</v>
      </c>
      <c r="AB15" s="27">
        <v>4.3999999999999997E-2</v>
      </c>
      <c r="AC15" s="27">
        <v>4.2999999999999997E-2</v>
      </c>
      <c r="AD15" s="27">
        <f t="shared" si="8"/>
        <v>4.1000000000000009E-2</v>
      </c>
      <c r="AE15" s="27">
        <f t="shared" si="9"/>
        <v>0.03</v>
      </c>
      <c r="AF15" s="27">
        <f t="shared" si="10"/>
        <v>3.4354838709677429</v>
      </c>
      <c r="AG15" s="53">
        <f t="shared" si="11"/>
        <v>0.34354838709677427</v>
      </c>
      <c r="AH15" s="27">
        <f>252.9-196.2</f>
        <v>56.700000000000017</v>
      </c>
      <c r="AI15" s="28">
        <f t="shared" si="12"/>
        <v>6.0590544461512197</v>
      </c>
      <c r="AL15" s="17" t="s">
        <v>157</v>
      </c>
      <c r="AM15" s="28">
        <f t="shared" si="13"/>
        <v>6.2657189016018195</v>
      </c>
      <c r="AN15" s="28">
        <f t="shared" si="14"/>
        <v>0.39652576938440282</v>
      </c>
    </row>
    <row r="16" spans="1:40" x14ac:dyDescent="0.25">
      <c r="A16" s="17" t="s">
        <v>158</v>
      </c>
      <c r="B16" s="27">
        <v>0.16</v>
      </c>
      <c r="C16" s="27">
        <v>0.16900000000000001</v>
      </c>
      <c r="D16" s="27">
        <v>0.123</v>
      </c>
      <c r="E16" s="27">
        <v>0.129</v>
      </c>
      <c r="F16" s="27">
        <f t="shared" si="0"/>
        <v>3.7000000000000005E-2</v>
      </c>
      <c r="G16" s="26">
        <f t="shared" si="0"/>
        <v>4.0000000000000008E-2</v>
      </c>
      <c r="H16" s="27">
        <f t="shared" si="1"/>
        <v>3.7258064516129039</v>
      </c>
      <c r="I16" s="27">
        <f t="shared" si="2"/>
        <v>0.37258064516129041</v>
      </c>
      <c r="J16" s="27">
        <f>251.8-201.5</f>
        <v>50.300000000000011</v>
      </c>
      <c r="K16" s="54">
        <f t="shared" si="3"/>
        <v>7.4071698839222728</v>
      </c>
      <c r="M16" s="17" t="s">
        <v>158</v>
      </c>
      <c r="N16" s="27">
        <v>8.4000000000000005E-2</v>
      </c>
      <c r="O16" s="27">
        <v>0.08</v>
      </c>
      <c r="P16" s="27">
        <v>0.04</v>
      </c>
      <c r="Q16" s="27">
        <v>3.4000000000000002E-2</v>
      </c>
      <c r="R16" s="27">
        <f t="shared" si="4"/>
        <v>4.4000000000000004E-2</v>
      </c>
      <c r="S16" s="27">
        <f t="shared" si="4"/>
        <v>4.5999999999999999E-2</v>
      </c>
      <c r="T16" s="27">
        <f t="shared" si="5"/>
        <v>4.354838709677419</v>
      </c>
      <c r="U16" s="53">
        <f t="shared" si="6"/>
        <v>0.43548387096774188</v>
      </c>
      <c r="V16" s="27">
        <f>261.8-201.5</f>
        <v>60.300000000000011</v>
      </c>
      <c r="W16" s="54">
        <f t="shared" si="7"/>
        <v>7.221954742416945</v>
      </c>
      <c r="Y16" s="17" t="s">
        <v>158</v>
      </c>
      <c r="Z16" s="27">
        <v>8.5999999999999993E-2</v>
      </c>
      <c r="AA16" s="27">
        <v>0.08</v>
      </c>
      <c r="AB16" s="27">
        <v>0.04</v>
      </c>
      <c r="AC16" s="27">
        <v>3.4000000000000002E-2</v>
      </c>
      <c r="AD16" s="27">
        <f t="shared" si="8"/>
        <v>4.5999999999999992E-2</v>
      </c>
      <c r="AE16" s="27">
        <f t="shared" si="9"/>
        <v>4.5999999999999999E-2</v>
      </c>
      <c r="AF16" s="27">
        <f t="shared" si="10"/>
        <v>4.4516129032258061</v>
      </c>
      <c r="AG16" s="53">
        <f t="shared" si="11"/>
        <v>0.44516129032258062</v>
      </c>
      <c r="AH16" s="27">
        <f>263.8-201.5</f>
        <v>62.300000000000011</v>
      </c>
      <c r="AI16" s="28">
        <f t="shared" si="12"/>
        <v>7.1454460725935878</v>
      </c>
      <c r="AL16" s="17" t="s">
        <v>158</v>
      </c>
      <c r="AM16" s="28">
        <f t="shared" si="13"/>
        <v>7.2581902329776016</v>
      </c>
      <c r="AN16" s="28">
        <f t="shared" si="14"/>
        <v>0.13457190061908123</v>
      </c>
    </row>
    <row r="17" spans="1:40" x14ac:dyDescent="0.25">
      <c r="A17" s="18" t="s">
        <v>294</v>
      </c>
      <c r="B17" s="91">
        <v>4.2999999999999997E-2</v>
      </c>
      <c r="C17" s="91">
        <v>4.2999999999999997E-2</v>
      </c>
      <c r="D17" s="27">
        <v>0.03</v>
      </c>
      <c r="E17" s="27">
        <v>2.8000000000000001E-2</v>
      </c>
      <c r="F17" s="27">
        <f t="shared" si="0"/>
        <v>1.2999999999999998E-2</v>
      </c>
      <c r="G17" s="27">
        <f t="shared" si="0"/>
        <v>1.4999999999999996E-2</v>
      </c>
      <c r="H17" s="27">
        <f>(((((F17+G17)/2)*5)/155)*1000)*3</f>
        <v>1.354838709677419</v>
      </c>
      <c r="I17" s="27">
        <f t="shared" si="2"/>
        <v>0.13548387096774189</v>
      </c>
      <c r="J17" s="27">
        <f>237.2-192.8</f>
        <v>44.399999999999977</v>
      </c>
      <c r="K17" s="54">
        <f>(I17*1000)/J17</f>
        <v>3.0514385353095035</v>
      </c>
      <c r="M17" s="18" t="s">
        <v>294</v>
      </c>
      <c r="N17" s="90">
        <v>4.1000000000000002E-2</v>
      </c>
      <c r="O17" s="90">
        <v>4.2000000000000003E-2</v>
      </c>
      <c r="P17" s="26">
        <v>2.9000000000000001E-2</v>
      </c>
      <c r="Q17" s="26">
        <v>2.5999999999999999E-2</v>
      </c>
      <c r="R17" s="26">
        <f t="shared" si="4"/>
        <v>1.2E-2</v>
      </c>
      <c r="S17" s="90">
        <f t="shared" si="4"/>
        <v>1.6000000000000004E-2</v>
      </c>
      <c r="T17" s="34">
        <f>(((((R17+S17)/2)*5)/155)*1000)*3</f>
        <v>1.3548387096774195</v>
      </c>
      <c r="U17" s="34">
        <f t="shared" si="6"/>
        <v>0.13548387096774195</v>
      </c>
      <c r="V17" s="27">
        <f>265.4-222.3</f>
        <v>43.099999999999966</v>
      </c>
      <c r="W17" s="54">
        <f t="shared" si="7"/>
        <v>3.1434772846343866</v>
      </c>
      <c r="Y17" s="18" t="s">
        <v>294</v>
      </c>
      <c r="Z17" s="90">
        <v>4.5999999999999999E-2</v>
      </c>
      <c r="AA17" s="90">
        <v>4.2000000000000003E-2</v>
      </c>
      <c r="AB17" s="26">
        <v>2.9000000000000001E-2</v>
      </c>
      <c r="AC17" s="26">
        <v>2.5000000000000001E-2</v>
      </c>
      <c r="AD17" s="26">
        <f t="shared" si="8"/>
        <v>1.6999999999999998E-2</v>
      </c>
      <c r="AE17" s="90">
        <f t="shared" si="9"/>
        <v>1.7000000000000001E-2</v>
      </c>
      <c r="AF17" s="34">
        <f>(((((AD17+AE17)/2)*5)/155)*1000)*3</f>
        <v>1.645161290322581</v>
      </c>
      <c r="AG17" s="34">
        <f t="shared" si="11"/>
        <v>0.1645161290322581</v>
      </c>
      <c r="AH17" s="27">
        <f>265.4-212.3</f>
        <v>53.099999999999966</v>
      </c>
      <c r="AI17" s="28">
        <f t="shared" si="12"/>
        <v>3.0982321851649379</v>
      </c>
      <c r="AL17" s="18" t="s">
        <v>294</v>
      </c>
      <c r="AM17" s="28">
        <f t="shared" si="13"/>
        <v>3.0977160017029433</v>
      </c>
      <c r="AN17" s="28">
        <f t="shared" si="14"/>
        <v>4.6021545805709253E-2</v>
      </c>
    </row>
    <row r="18" spans="1:40" x14ac:dyDescent="0.25">
      <c r="A18" s="15" t="s">
        <v>160</v>
      </c>
      <c r="B18" s="27">
        <v>4.9000000000000002E-2</v>
      </c>
      <c r="C18" s="27">
        <v>4.7E-2</v>
      </c>
      <c r="D18" s="27">
        <v>3.2000000000000001E-2</v>
      </c>
      <c r="E18" s="27">
        <v>2.9000000000000001E-2</v>
      </c>
      <c r="F18" s="27">
        <f t="shared" si="0"/>
        <v>1.7000000000000001E-2</v>
      </c>
      <c r="G18" s="27">
        <f t="shared" si="0"/>
        <v>1.7999999999999999E-2</v>
      </c>
      <c r="H18" s="27">
        <f t="shared" si="1"/>
        <v>1.6935483870967745</v>
      </c>
      <c r="I18" s="27">
        <f t="shared" si="2"/>
        <v>0.16935483870967744</v>
      </c>
      <c r="J18" s="27">
        <f>242.5-196</f>
        <v>46.5</v>
      </c>
      <c r="K18" s="54">
        <f t="shared" ref="K18:K31" si="15">(I18*1000)/J18</f>
        <v>3.6420395421436007</v>
      </c>
      <c r="M18" s="15" t="s">
        <v>160</v>
      </c>
      <c r="N18" s="27">
        <v>5.1999999999999998E-2</v>
      </c>
      <c r="O18" s="27">
        <v>5.3999999999999999E-2</v>
      </c>
      <c r="P18" s="27">
        <v>3.4000000000000002E-2</v>
      </c>
      <c r="Q18" s="27">
        <v>3.1E-2</v>
      </c>
      <c r="R18" s="27">
        <f t="shared" si="4"/>
        <v>1.7999999999999995E-2</v>
      </c>
      <c r="S18" s="27">
        <f t="shared" si="4"/>
        <v>2.3E-2</v>
      </c>
      <c r="T18" s="27">
        <f t="shared" si="5"/>
        <v>1.9838709677419351</v>
      </c>
      <c r="U18" s="53">
        <f t="shared" si="6"/>
        <v>0.1983870967741935</v>
      </c>
      <c r="V18" s="27">
        <f xml:space="preserve"> 271.3-215</f>
        <v>56.300000000000011</v>
      </c>
      <c r="W18" s="54">
        <f t="shared" si="7"/>
        <v>3.5237494986535252</v>
      </c>
      <c r="Y18" s="15" t="s">
        <v>160</v>
      </c>
      <c r="Z18" s="27">
        <v>6.0999999999999999E-2</v>
      </c>
      <c r="AA18" s="27">
        <v>4.9000000000000002E-2</v>
      </c>
      <c r="AB18" s="27">
        <v>3.5999999999999997E-2</v>
      </c>
      <c r="AC18" s="27">
        <v>3.5000000000000003E-2</v>
      </c>
      <c r="AD18" s="27">
        <f t="shared" si="8"/>
        <v>2.5000000000000001E-2</v>
      </c>
      <c r="AE18" s="27">
        <f t="shared" si="9"/>
        <v>1.3999999999999999E-2</v>
      </c>
      <c r="AF18" s="27">
        <f t="shared" ref="AF18:AF31" si="16">(((((AD18+AE18)/2)*5)/155)*1000)*3</f>
        <v>1.8870967741935485</v>
      </c>
      <c r="AG18" s="53">
        <f t="shared" si="11"/>
        <v>0.18870967741935485</v>
      </c>
      <c r="AH18" s="27">
        <f xml:space="preserve"> 273.3-215</f>
        <v>58.300000000000011</v>
      </c>
      <c r="AI18" s="28">
        <f t="shared" si="12"/>
        <v>3.2368726830078014</v>
      </c>
      <c r="AL18" s="15" t="s">
        <v>160</v>
      </c>
      <c r="AM18" s="28">
        <f t="shared" si="13"/>
        <v>3.4675539079349758</v>
      </c>
      <c r="AN18" s="28">
        <f t="shared" si="14"/>
        <v>0.2083470764077269</v>
      </c>
    </row>
    <row r="19" spans="1:40" x14ac:dyDescent="0.25">
      <c r="A19" s="15" t="s">
        <v>161</v>
      </c>
      <c r="B19" s="27">
        <v>4.5999999999999999E-2</v>
      </c>
      <c r="C19" s="27">
        <v>4.9000000000000002E-2</v>
      </c>
      <c r="D19" s="27">
        <v>0.03</v>
      </c>
      <c r="E19" s="27">
        <v>3.3000000000000002E-2</v>
      </c>
      <c r="F19" s="27">
        <f t="shared" si="0"/>
        <v>1.6E-2</v>
      </c>
      <c r="G19" s="27">
        <f t="shared" si="0"/>
        <v>1.6E-2</v>
      </c>
      <c r="H19" s="27">
        <f t="shared" si="1"/>
        <v>1.5483870967741935</v>
      </c>
      <c r="I19" s="27">
        <f t="shared" si="2"/>
        <v>0.15483870967741936</v>
      </c>
      <c r="J19" s="27">
        <f>243.4-207.2</f>
        <v>36.200000000000017</v>
      </c>
      <c r="K19" s="54">
        <f t="shared" si="15"/>
        <v>4.2773124220281566</v>
      </c>
      <c r="M19" s="15" t="s">
        <v>161</v>
      </c>
      <c r="N19" s="27">
        <v>4.9000000000000002E-2</v>
      </c>
      <c r="O19" s="27">
        <v>5.5E-2</v>
      </c>
      <c r="P19" s="27">
        <v>2.9000000000000001E-2</v>
      </c>
      <c r="Q19" s="27">
        <v>0.03</v>
      </c>
      <c r="R19" s="27">
        <f t="shared" si="4"/>
        <v>0.02</v>
      </c>
      <c r="S19" s="27">
        <f t="shared" si="4"/>
        <v>2.5000000000000001E-2</v>
      </c>
      <c r="T19" s="27">
        <f t="shared" si="5"/>
        <v>2.1774193548387095</v>
      </c>
      <c r="U19" s="53">
        <f t="shared" si="6"/>
        <v>0.21774193548387094</v>
      </c>
      <c r="V19" s="27">
        <f>254-214.1</f>
        <v>39.900000000000006</v>
      </c>
      <c r="W19" s="54">
        <f t="shared" si="7"/>
        <v>5.4571913655105488</v>
      </c>
      <c r="Y19" s="15" t="s">
        <v>161</v>
      </c>
      <c r="Z19" s="27">
        <v>4.3799999999999999E-2</v>
      </c>
      <c r="AA19" s="27">
        <v>5.2999999999999999E-2</v>
      </c>
      <c r="AB19" s="27">
        <v>2.9000000000000001E-2</v>
      </c>
      <c r="AC19" s="27">
        <v>3.1E-2</v>
      </c>
      <c r="AD19" s="27">
        <f t="shared" si="8"/>
        <v>1.4799999999999997E-2</v>
      </c>
      <c r="AE19" s="27">
        <f t="shared" si="9"/>
        <v>2.1999999999999999E-2</v>
      </c>
      <c r="AF19" s="27">
        <f t="shared" si="16"/>
        <v>1.7806451612903225</v>
      </c>
      <c r="AG19" s="53">
        <f t="shared" si="11"/>
        <v>0.17806451612903224</v>
      </c>
      <c r="AH19" s="27">
        <f>252-214</f>
        <v>38</v>
      </c>
      <c r="AI19" s="28">
        <f t="shared" si="12"/>
        <v>4.6859083191850583</v>
      </c>
      <c r="AL19" s="15" t="s">
        <v>161</v>
      </c>
      <c r="AM19" s="28">
        <f t="shared" si="13"/>
        <v>4.8068040355745882</v>
      </c>
      <c r="AN19" s="28">
        <f t="shared" si="14"/>
        <v>0.5991580851488828</v>
      </c>
    </row>
    <row r="20" spans="1:40" x14ac:dyDescent="0.25">
      <c r="A20" s="16" t="s">
        <v>162</v>
      </c>
      <c r="B20" s="27">
        <v>4.3999999999999997E-2</v>
      </c>
      <c r="C20" s="27">
        <v>0.05</v>
      </c>
      <c r="D20" s="27">
        <v>3.1E-2</v>
      </c>
      <c r="E20" s="27">
        <v>3.1E-2</v>
      </c>
      <c r="F20" s="27">
        <f t="shared" si="0"/>
        <v>1.2999999999999998E-2</v>
      </c>
      <c r="G20" s="27">
        <f t="shared" si="0"/>
        <v>1.9000000000000003E-2</v>
      </c>
      <c r="H20" s="27">
        <f t="shared" si="1"/>
        <v>1.5483870967741935</v>
      </c>
      <c r="I20" s="27">
        <f t="shared" si="2"/>
        <v>0.15483870967741936</v>
      </c>
      <c r="J20" s="27">
        <f>235.6-199.5</f>
        <v>36.099999999999994</v>
      </c>
      <c r="K20" s="54">
        <f t="shared" si="15"/>
        <v>4.2891609328925036</v>
      </c>
      <c r="M20" s="16" t="s">
        <v>162</v>
      </c>
      <c r="N20" s="27">
        <v>5.2999999999999999E-2</v>
      </c>
      <c r="O20" s="27">
        <v>5.3999999999999999E-2</v>
      </c>
      <c r="P20" s="27">
        <v>3.3000000000000002E-2</v>
      </c>
      <c r="Q20" s="27">
        <v>3.3000000000000002E-2</v>
      </c>
      <c r="R20" s="27">
        <f t="shared" si="4"/>
        <v>1.9999999999999997E-2</v>
      </c>
      <c r="S20" s="27">
        <f t="shared" si="4"/>
        <v>2.0999999999999998E-2</v>
      </c>
      <c r="T20" s="27">
        <f t="shared" si="5"/>
        <v>1.9838709677419351</v>
      </c>
      <c r="U20" s="53">
        <f t="shared" si="6"/>
        <v>0.1983870967741935</v>
      </c>
      <c r="V20" s="27">
        <f>270.6-226.9</f>
        <v>43.700000000000017</v>
      </c>
      <c r="W20" s="54">
        <f t="shared" si="7"/>
        <v>4.5397504982652963</v>
      </c>
      <c r="Y20" s="16" t="s">
        <v>162</v>
      </c>
      <c r="Z20" s="27">
        <v>5.7000000000000002E-2</v>
      </c>
      <c r="AA20" s="27">
        <v>5.1999999999999998E-2</v>
      </c>
      <c r="AB20" s="27">
        <v>3.4000000000000002E-2</v>
      </c>
      <c r="AC20" s="27">
        <v>3.5999999999999997E-2</v>
      </c>
      <c r="AD20" s="27">
        <f t="shared" si="8"/>
        <v>2.3E-2</v>
      </c>
      <c r="AE20" s="27">
        <f t="shared" si="9"/>
        <v>1.6E-2</v>
      </c>
      <c r="AF20" s="27">
        <f t="shared" si="16"/>
        <v>1.8870967741935485</v>
      </c>
      <c r="AG20" s="53">
        <f t="shared" si="11"/>
        <v>0.18870967741935485</v>
      </c>
      <c r="AH20" s="27">
        <f>271.6-226.9</f>
        <v>44.700000000000017</v>
      </c>
      <c r="AI20" s="28">
        <f t="shared" si="12"/>
        <v>4.2216930071444025</v>
      </c>
      <c r="AL20" s="16" t="s">
        <v>162</v>
      </c>
      <c r="AM20" s="28">
        <f t="shared" si="13"/>
        <v>4.3502014794340669</v>
      </c>
      <c r="AN20" s="28">
        <f t="shared" si="14"/>
        <v>0.16758461491467222</v>
      </c>
    </row>
    <row r="21" spans="1:40" x14ac:dyDescent="0.25">
      <c r="A21" s="16" t="s">
        <v>163</v>
      </c>
      <c r="B21" s="27">
        <v>4.5999999999999999E-2</v>
      </c>
      <c r="C21" s="27">
        <v>4.4999999999999998E-2</v>
      </c>
      <c r="D21" s="27">
        <v>3.2000000000000001E-2</v>
      </c>
      <c r="E21" s="27">
        <v>2.9000000000000001E-2</v>
      </c>
      <c r="F21" s="27">
        <f t="shared" si="0"/>
        <v>1.3999999999999999E-2</v>
      </c>
      <c r="G21" s="27">
        <f t="shared" si="0"/>
        <v>1.5999999999999997E-2</v>
      </c>
      <c r="H21" s="27">
        <f t="shared" si="1"/>
        <v>1.4516129032258061</v>
      </c>
      <c r="I21" s="27">
        <f t="shared" si="2"/>
        <v>0.1451612903225806</v>
      </c>
      <c r="J21" s="27">
        <f>236.5-205.4</f>
        <v>31.099999999999994</v>
      </c>
      <c r="K21" s="54">
        <f t="shared" si="15"/>
        <v>4.6675656052276731</v>
      </c>
      <c r="M21" s="16" t="s">
        <v>163</v>
      </c>
      <c r="N21" s="27">
        <v>4.9000000000000002E-2</v>
      </c>
      <c r="O21" s="27">
        <v>4.5999999999999999E-2</v>
      </c>
      <c r="P21" s="27">
        <v>0.03</v>
      </c>
      <c r="Q21" s="27">
        <v>2.8000000000000001E-2</v>
      </c>
      <c r="R21" s="27">
        <f t="shared" si="4"/>
        <v>1.9000000000000003E-2</v>
      </c>
      <c r="S21" s="27">
        <f t="shared" si="4"/>
        <v>1.7999999999999999E-2</v>
      </c>
      <c r="T21" s="27">
        <f t="shared" si="5"/>
        <v>1.7903225806451615</v>
      </c>
      <c r="U21" s="53">
        <f t="shared" si="6"/>
        <v>0.17903225806451614</v>
      </c>
      <c r="V21" s="27">
        <f>258-218.6</f>
        <v>39.400000000000006</v>
      </c>
      <c r="W21" s="54">
        <f t="shared" si="7"/>
        <v>4.5439659407237594</v>
      </c>
      <c r="Y21" s="16" t="s">
        <v>163</v>
      </c>
      <c r="Z21" s="27">
        <v>4.7E-2</v>
      </c>
      <c r="AA21" s="27">
        <v>4.7E-2</v>
      </c>
      <c r="AB21" s="27">
        <v>3.2000000000000001E-2</v>
      </c>
      <c r="AC21" s="27">
        <v>2.9000000000000001E-2</v>
      </c>
      <c r="AD21" s="27">
        <f t="shared" si="8"/>
        <v>1.4999999999999999E-2</v>
      </c>
      <c r="AE21" s="27">
        <f t="shared" si="9"/>
        <v>1.7999999999999999E-2</v>
      </c>
      <c r="AF21" s="27">
        <f t="shared" si="16"/>
        <v>1.5967741935483875</v>
      </c>
      <c r="AG21" s="53">
        <f t="shared" si="11"/>
        <v>0.15967741935483876</v>
      </c>
      <c r="AH21" s="27">
        <f>257-218.6</f>
        <v>38.400000000000006</v>
      </c>
      <c r="AI21" s="28">
        <f t="shared" si="12"/>
        <v>4.158266129032258</v>
      </c>
      <c r="AL21" s="16" t="s">
        <v>163</v>
      </c>
      <c r="AM21" s="28">
        <f t="shared" si="13"/>
        <v>4.4565992249945632</v>
      </c>
      <c r="AN21" s="28">
        <f t="shared" si="14"/>
        <v>0.26565239764814963</v>
      </c>
    </row>
    <row r="22" spans="1:40" x14ac:dyDescent="0.25">
      <c r="A22" s="17" t="s">
        <v>164</v>
      </c>
      <c r="B22" s="27">
        <v>6.4000000000000001E-2</v>
      </c>
      <c r="C22" s="27">
        <v>6.3E-2</v>
      </c>
      <c r="D22" s="27">
        <v>3.6999999999999998E-2</v>
      </c>
      <c r="E22" s="27">
        <v>4.2000000000000003E-2</v>
      </c>
      <c r="F22" s="27">
        <f t="shared" si="0"/>
        <v>2.7000000000000003E-2</v>
      </c>
      <c r="G22" s="27">
        <f t="shared" si="0"/>
        <v>2.0999999999999998E-2</v>
      </c>
      <c r="H22" s="27">
        <f t="shared" si="1"/>
        <v>2.32258064516129</v>
      </c>
      <c r="I22" s="27">
        <f t="shared" si="2"/>
        <v>0.23225806451612901</v>
      </c>
      <c r="J22" s="27">
        <f>235.1-197.8</f>
        <v>37.299999999999983</v>
      </c>
      <c r="K22" s="54">
        <f t="shared" si="15"/>
        <v>6.2267577618265184</v>
      </c>
      <c r="M22" s="17" t="s">
        <v>164</v>
      </c>
      <c r="N22" s="27">
        <v>6.6000000000000003E-2</v>
      </c>
      <c r="O22" s="27">
        <v>7.2999999999999995E-2</v>
      </c>
      <c r="P22" s="27">
        <v>3.6999999999999998E-2</v>
      </c>
      <c r="Q22" s="27">
        <v>4.2000000000000003E-2</v>
      </c>
      <c r="R22" s="27">
        <f t="shared" si="4"/>
        <v>2.9000000000000005E-2</v>
      </c>
      <c r="S22" s="27">
        <f t="shared" si="4"/>
        <v>3.0999999999999993E-2</v>
      </c>
      <c r="T22" s="27">
        <f t="shared" si="5"/>
        <v>2.903225806451613</v>
      </c>
      <c r="U22" s="53">
        <f t="shared" si="6"/>
        <v>0.29032258064516131</v>
      </c>
      <c r="V22" s="27">
        <f>277.4-229.8</f>
        <v>47.599999999999966</v>
      </c>
      <c r="W22" s="54">
        <f t="shared" si="7"/>
        <v>6.0992138791000325</v>
      </c>
      <c r="Y22" s="17" t="s">
        <v>164</v>
      </c>
      <c r="Z22" s="27">
        <v>6.8000000000000005E-2</v>
      </c>
      <c r="AA22" s="27">
        <v>7.1999999999999995E-2</v>
      </c>
      <c r="AB22" s="27">
        <v>3.6999999999999998E-2</v>
      </c>
      <c r="AC22" s="27">
        <v>4.1000000000000002E-2</v>
      </c>
      <c r="AD22" s="27">
        <f t="shared" si="8"/>
        <v>3.1000000000000007E-2</v>
      </c>
      <c r="AE22" s="27">
        <f t="shared" si="9"/>
        <v>3.0999999999999993E-2</v>
      </c>
      <c r="AF22" s="27">
        <f t="shared" si="16"/>
        <v>3</v>
      </c>
      <c r="AG22" s="53">
        <f t="shared" si="11"/>
        <v>0.3</v>
      </c>
      <c r="AH22" s="27">
        <f>275.4-227.8</f>
        <v>47.599999999999966</v>
      </c>
      <c r="AI22" s="28">
        <f t="shared" si="12"/>
        <v>6.3025210084033656</v>
      </c>
      <c r="AL22" s="17" t="s">
        <v>164</v>
      </c>
      <c r="AM22" s="28">
        <f t="shared" si="13"/>
        <v>6.2094975497766383</v>
      </c>
      <c r="AN22" s="28">
        <f t="shared" si="14"/>
        <v>0.10274669530644599</v>
      </c>
    </row>
    <row r="23" spans="1:40" x14ac:dyDescent="0.25">
      <c r="A23" s="17" t="s">
        <v>165</v>
      </c>
      <c r="B23" s="27">
        <v>5.8999999999999997E-2</v>
      </c>
      <c r="C23" s="27">
        <v>6.3E-2</v>
      </c>
      <c r="D23" s="27">
        <v>0.03</v>
      </c>
      <c r="E23" s="27">
        <v>3.9E-2</v>
      </c>
      <c r="F23" s="27">
        <f t="shared" si="0"/>
        <v>2.8999999999999998E-2</v>
      </c>
      <c r="G23" s="27">
        <f t="shared" si="0"/>
        <v>2.4E-2</v>
      </c>
      <c r="H23" s="27">
        <f t="shared" si="1"/>
        <v>2.564516129032258</v>
      </c>
      <c r="I23" s="27">
        <f t="shared" si="2"/>
        <v>0.25645161290322582</v>
      </c>
      <c r="J23" s="27">
        <f>255.9-208.7</f>
        <v>47.200000000000017</v>
      </c>
      <c r="K23" s="54">
        <f t="shared" si="15"/>
        <v>5.4332968835429183</v>
      </c>
      <c r="M23" s="17" t="s">
        <v>165</v>
      </c>
      <c r="N23" s="27">
        <v>5.7000000000000002E-2</v>
      </c>
      <c r="O23" s="27">
        <v>6.8000000000000005E-2</v>
      </c>
      <c r="P23" s="27">
        <v>0.03</v>
      </c>
      <c r="Q23" s="27">
        <v>3.5000000000000003E-2</v>
      </c>
      <c r="R23" s="27">
        <f t="shared" si="4"/>
        <v>2.7000000000000003E-2</v>
      </c>
      <c r="S23" s="27">
        <f t="shared" si="4"/>
        <v>3.3000000000000002E-2</v>
      </c>
      <c r="T23" s="27">
        <f t="shared" si="5"/>
        <v>2.9032258064516134</v>
      </c>
      <c r="U23" s="53">
        <f t="shared" si="6"/>
        <v>0.29032258064516137</v>
      </c>
      <c r="V23" s="27">
        <f>269.4-220.5</f>
        <v>48.899999999999977</v>
      </c>
      <c r="W23" s="54">
        <f t="shared" si="7"/>
        <v>5.9370670888581074</v>
      </c>
      <c r="Y23" s="17" t="s">
        <v>165</v>
      </c>
      <c r="Z23" s="27">
        <v>5.5E-2</v>
      </c>
      <c r="AA23" s="27">
        <v>6.5000000000000002E-2</v>
      </c>
      <c r="AB23" s="27">
        <v>3.1E-2</v>
      </c>
      <c r="AC23" s="27">
        <v>3.5000000000000003E-2</v>
      </c>
      <c r="AD23" s="27">
        <f t="shared" si="8"/>
        <v>2.4E-2</v>
      </c>
      <c r="AE23" s="27">
        <f t="shared" si="9"/>
        <v>0.03</v>
      </c>
      <c r="AF23" s="27">
        <f t="shared" si="16"/>
        <v>2.6129032258064515</v>
      </c>
      <c r="AG23" s="53">
        <f t="shared" si="11"/>
        <v>0.26129032258064516</v>
      </c>
      <c r="AH23" s="27">
        <f>266.4-219.5</f>
        <v>46.899999999999977</v>
      </c>
      <c r="AI23" s="28">
        <f t="shared" si="12"/>
        <v>5.5712222298645058</v>
      </c>
      <c r="AL23" s="17" t="s">
        <v>165</v>
      </c>
      <c r="AM23" s="28">
        <f t="shared" si="13"/>
        <v>5.6471954007551775</v>
      </c>
      <c r="AN23" s="28">
        <f t="shared" si="14"/>
        <v>0.2603364111341599</v>
      </c>
    </row>
    <row r="24" spans="1:40" x14ac:dyDescent="0.25">
      <c r="A24" s="16" t="s">
        <v>166</v>
      </c>
      <c r="B24" s="27">
        <v>4.2000000000000003E-2</v>
      </c>
      <c r="C24" s="27">
        <v>4.2999999999999997E-2</v>
      </c>
      <c r="D24" s="27">
        <v>0.03</v>
      </c>
      <c r="E24" s="27">
        <v>2.9000000000000001E-2</v>
      </c>
      <c r="F24" s="27">
        <f t="shared" si="0"/>
        <v>1.2000000000000004E-2</v>
      </c>
      <c r="G24" s="27">
        <f t="shared" si="0"/>
        <v>1.3999999999999995E-2</v>
      </c>
      <c r="H24" s="27">
        <f t="shared" si="1"/>
        <v>1.2580645161290323</v>
      </c>
      <c r="I24" s="27">
        <f t="shared" si="2"/>
        <v>0.12580645161290321</v>
      </c>
      <c r="J24" s="27">
        <f>230.5-188.4</f>
        <v>42.099999999999994</v>
      </c>
      <c r="K24" s="54">
        <f t="shared" si="15"/>
        <v>2.9882767604015021</v>
      </c>
      <c r="M24" s="16" t="s">
        <v>166</v>
      </c>
      <c r="N24" s="27">
        <v>4.3999999999999997E-2</v>
      </c>
      <c r="O24" s="27">
        <v>4.4999999999999998E-2</v>
      </c>
      <c r="P24" s="27">
        <v>3.1E-2</v>
      </c>
      <c r="Q24" s="27">
        <v>2.9000000000000001E-2</v>
      </c>
      <c r="R24" s="27">
        <f t="shared" si="4"/>
        <v>1.2999999999999998E-2</v>
      </c>
      <c r="S24" s="27">
        <f t="shared" si="4"/>
        <v>1.5999999999999997E-2</v>
      </c>
      <c r="T24" s="27">
        <f t="shared" si="5"/>
        <v>1.4032258064516125</v>
      </c>
      <c r="U24" s="53">
        <f t="shared" si="6"/>
        <v>0.14032258064516126</v>
      </c>
      <c r="V24" s="27">
        <f>264.3-219.1</f>
        <v>45.200000000000017</v>
      </c>
      <c r="W24" s="54">
        <f t="shared" si="7"/>
        <v>3.1044818726805574</v>
      </c>
      <c r="Y24" s="16" t="s">
        <v>166</v>
      </c>
      <c r="Z24" s="27">
        <v>4.5999999999999999E-2</v>
      </c>
      <c r="AA24" s="27">
        <v>4.4999999999999998E-2</v>
      </c>
      <c r="AB24" s="27">
        <v>3.3000000000000002E-2</v>
      </c>
      <c r="AC24" s="27">
        <v>2.9000000000000001E-2</v>
      </c>
      <c r="AD24" s="27">
        <f t="shared" si="8"/>
        <v>1.2999999999999998E-2</v>
      </c>
      <c r="AE24" s="27">
        <f t="shared" si="9"/>
        <v>1.5999999999999997E-2</v>
      </c>
      <c r="AF24" s="27">
        <f t="shared" si="16"/>
        <v>1.4032258064516125</v>
      </c>
      <c r="AG24" s="53">
        <f t="shared" si="11"/>
        <v>0.14032258064516126</v>
      </c>
      <c r="AH24" s="27">
        <f>262.3-218.1</f>
        <v>44.200000000000017</v>
      </c>
      <c r="AI24" s="28">
        <f t="shared" si="12"/>
        <v>3.174719019121294</v>
      </c>
      <c r="AL24" s="16" t="s">
        <v>166</v>
      </c>
      <c r="AM24" s="28">
        <f t="shared" si="13"/>
        <v>3.089159217401118</v>
      </c>
      <c r="AN24" s="28">
        <f t="shared" si="14"/>
        <v>9.416085589428258E-2</v>
      </c>
    </row>
    <row r="25" spans="1:40" x14ac:dyDescent="0.25">
      <c r="A25" s="16" t="s">
        <v>167</v>
      </c>
      <c r="B25" s="27">
        <v>4.5999999999999999E-2</v>
      </c>
      <c r="C25" s="27">
        <v>4.3999999999999997E-2</v>
      </c>
      <c r="D25" s="27">
        <v>0.03</v>
      </c>
      <c r="E25" s="27">
        <v>3.3000000000000002E-2</v>
      </c>
      <c r="F25" s="27">
        <f t="shared" si="0"/>
        <v>1.6E-2</v>
      </c>
      <c r="G25" s="27">
        <f t="shared" si="0"/>
        <v>1.0999999999999996E-2</v>
      </c>
      <c r="H25" s="27">
        <f t="shared" si="1"/>
        <v>1.3064516129032255</v>
      </c>
      <c r="I25" s="27">
        <f t="shared" si="2"/>
        <v>0.13064516129032255</v>
      </c>
      <c r="J25" s="27">
        <f>236-192.8</f>
        <v>43.199999999999989</v>
      </c>
      <c r="K25" s="54">
        <f t="shared" si="15"/>
        <v>3.024193548387097</v>
      </c>
      <c r="M25" s="16" t="s">
        <v>167</v>
      </c>
      <c r="N25" s="27">
        <v>4.7E-2</v>
      </c>
      <c r="O25" s="27">
        <v>4.8000000000000001E-2</v>
      </c>
      <c r="P25" s="27">
        <v>0.03</v>
      </c>
      <c r="Q25" s="27">
        <v>2.8000000000000001E-2</v>
      </c>
      <c r="R25" s="27">
        <f t="shared" si="4"/>
        <v>1.7000000000000001E-2</v>
      </c>
      <c r="S25" s="27">
        <f t="shared" si="4"/>
        <v>0.02</v>
      </c>
      <c r="T25" s="27">
        <f t="shared" si="5"/>
        <v>1.7903225806451615</v>
      </c>
      <c r="U25" s="53">
        <f t="shared" si="6"/>
        <v>0.17903225806451614</v>
      </c>
      <c r="V25" s="27">
        <f>274.3-223.3</f>
        <v>51</v>
      </c>
      <c r="W25" s="54">
        <f t="shared" si="7"/>
        <v>3.510436432637571</v>
      </c>
      <c r="Y25" s="16" t="s">
        <v>167</v>
      </c>
      <c r="Z25" s="27">
        <v>4.3999999999999997E-2</v>
      </c>
      <c r="AA25" s="27">
        <v>5.0999999999999997E-2</v>
      </c>
      <c r="AB25" s="27">
        <v>3.2000000000000001E-2</v>
      </c>
      <c r="AC25" s="27">
        <v>2.9000000000000001E-2</v>
      </c>
      <c r="AD25" s="27">
        <f t="shared" si="8"/>
        <v>1.1999999999999997E-2</v>
      </c>
      <c r="AE25" s="27">
        <f t="shared" si="9"/>
        <v>2.1999999999999995E-2</v>
      </c>
      <c r="AF25" s="27">
        <f t="shared" si="16"/>
        <v>1.6451612903225799</v>
      </c>
      <c r="AG25" s="53">
        <f t="shared" si="11"/>
        <v>0.16451612903225799</v>
      </c>
      <c r="AH25" s="27">
        <f>276.3-225.3</f>
        <v>51</v>
      </c>
      <c r="AI25" s="28">
        <f t="shared" si="12"/>
        <v>3.2258064516129017</v>
      </c>
      <c r="AL25" s="16" t="s">
        <v>167</v>
      </c>
      <c r="AM25" s="28">
        <f t="shared" si="13"/>
        <v>3.2534788108791903</v>
      </c>
      <c r="AN25" s="28">
        <f t="shared" si="14"/>
        <v>0.24429972415370604</v>
      </c>
    </row>
    <row r="26" spans="1:40" ht="15.6" customHeight="1" x14ac:dyDescent="0.25">
      <c r="A26" s="16" t="s">
        <v>168</v>
      </c>
      <c r="B26" s="27">
        <v>4.9000000000000002E-2</v>
      </c>
      <c r="C26" s="27">
        <v>4.4999999999999998E-2</v>
      </c>
      <c r="D26" s="27">
        <v>0.03</v>
      </c>
      <c r="E26" s="27">
        <v>2.9000000000000001E-2</v>
      </c>
      <c r="F26" s="27">
        <f t="shared" si="0"/>
        <v>1.9000000000000003E-2</v>
      </c>
      <c r="G26" s="27">
        <f t="shared" si="0"/>
        <v>1.5999999999999997E-2</v>
      </c>
      <c r="H26" s="27">
        <f t="shared" si="1"/>
        <v>1.6935483870967745</v>
      </c>
      <c r="I26" s="27">
        <f t="shared" si="2"/>
        <v>0.16935483870967744</v>
      </c>
      <c r="J26" s="27">
        <f>253.8-201.8</f>
        <v>52</v>
      </c>
      <c r="K26" s="54">
        <f t="shared" si="15"/>
        <v>3.2568238213399505</v>
      </c>
      <c r="M26" s="16" t="s">
        <v>168</v>
      </c>
      <c r="N26" s="27">
        <v>4.8000000000000001E-2</v>
      </c>
      <c r="O26" s="27">
        <v>4.5999999999999999E-2</v>
      </c>
      <c r="P26" s="27">
        <v>2.9000000000000001E-2</v>
      </c>
      <c r="Q26" s="27">
        <v>2.8000000000000001E-2</v>
      </c>
      <c r="R26" s="27">
        <f t="shared" si="4"/>
        <v>1.9E-2</v>
      </c>
      <c r="S26" s="27">
        <f t="shared" si="4"/>
        <v>1.7999999999999999E-2</v>
      </c>
      <c r="T26" s="27">
        <f t="shared" si="5"/>
        <v>1.790322580645161</v>
      </c>
      <c r="U26" s="53">
        <f t="shared" si="6"/>
        <v>0.17903225806451611</v>
      </c>
      <c r="V26" s="27">
        <f>277.2-221.9</f>
        <v>55.299999999999983</v>
      </c>
      <c r="W26" s="54">
        <f t="shared" si="7"/>
        <v>3.2374730210581588</v>
      </c>
      <c r="Y26" s="16" t="s">
        <v>168</v>
      </c>
      <c r="Z26" s="27">
        <v>4.1000000000000002E-2</v>
      </c>
      <c r="AA26" s="27">
        <v>4.2000000000000003E-2</v>
      </c>
      <c r="AB26" s="27">
        <v>2.9000000000000001E-2</v>
      </c>
      <c r="AC26" s="27">
        <v>2.7E-2</v>
      </c>
      <c r="AD26" s="27">
        <f t="shared" si="8"/>
        <v>1.2E-2</v>
      </c>
      <c r="AE26" s="27">
        <f t="shared" si="9"/>
        <v>1.5000000000000003E-2</v>
      </c>
      <c r="AF26" s="27">
        <f t="shared" si="16"/>
        <v>1.3064516129032258</v>
      </c>
      <c r="AG26" s="53">
        <f t="shared" si="11"/>
        <v>0.13064516129032258</v>
      </c>
      <c r="AH26" s="27">
        <f>267.2-221.9</f>
        <v>45.299999999999983</v>
      </c>
      <c r="AI26" s="28">
        <f t="shared" si="12"/>
        <v>2.8839991454817362</v>
      </c>
      <c r="AL26" s="16" t="s">
        <v>168</v>
      </c>
      <c r="AM26" s="28">
        <f t="shared" si="13"/>
        <v>3.1260986626266152</v>
      </c>
      <c r="AN26" s="28">
        <f t="shared" si="14"/>
        <v>0.20988745917568327</v>
      </c>
    </row>
    <row r="27" spans="1:40" x14ac:dyDescent="0.25">
      <c r="A27" s="16" t="s">
        <v>169</v>
      </c>
      <c r="B27" s="27">
        <v>6.5000000000000002E-2</v>
      </c>
      <c r="C27" s="27">
        <v>4.2000000000000003E-2</v>
      </c>
      <c r="D27" s="27">
        <v>3.2000000000000001E-2</v>
      </c>
      <c r="E27" s="27">
        <v>2.7E-2</v>
      </c>
      <c r="F27" s="27">
        <f t="shared" si="0"/>
        <v>3.3000000000000002E-2</v>
      </c>
      <c r="G27" s="27">
        <f t="shared" si="0"/>
        <v>1.5000000000000003E-2</v>
      </c>
      <c r="H27" s="27">
        <f t="shared" si="1"/>
        <v>2.32258064516129</v>
      </c>
      <c r="I27" s="27">
        <f t="shared" si="2"/>
        <v>0.23225806451612901</v>
      </c>
      <c r="J27" s="27">
        <f>276.2-206.9</f>
        <v>69.299999999999983</v>
      </c>
      <c r="K27" s="54">
        <f t="shared" si="15"/>
        <v>3.3514872224549652</v>
      </c>
      <c r="M27" s="16" t="s">
        <v>169</v>
      </c>
      <c r="N27" s="27">
        <v>4.5999999999999999E-2</v>
      </c>
      <c r="O27" s="27">
        <v>4.5999999999999999E-2</v>
      </c>
      <c r="P27" s="27">
        <v>3.2000000000000001E-2</v>
      </c>
      <c r="Q27" s="27">
        <v>2.9000000000000001E-2</v>
      </c>
      <c r="R27" s="27">
        <f t="shared" si="4"/>
        <v>1.3999999999999999E-2</v>
      </c>
      <c r="S27" s="27">
        <f t="shared" si="4"/>
        <v>1.6999999999999998E-2</v>
      </c>
      <c r="T27" s="27">
        <f t="shared" si="5"/>
        <v>1.4999999999999996</v>
      </c>
      <c r="U27" s="53">
        <f t="shared" si="6"/>
        <v>0.14999999999999997</v>
      </c>
      <c r="V27" s="27">
        <f>275.8-224.4</f>
        <v>51.400000000000006</v>
      </c>
      <c r="W27" s="54">
        <f t="shared" si="7"/>
        <v>2.9182879377431896</v>
      </c>
      <c r="Y27" s="16" t="s">
        <v>169</v>
      </c>
      <c r="Z27" s="27">
        <v>4.5999999999999999E-2</v>
      </c>
      <c r="AA27" s="27">
        <v>4.2999999999999997E-2</v>
      </c>
      <c r="AB27" s="27">
        <v>3.2000000000000001E-2</v>
      </c>
      <c r="AC27" s="27">
        <v>2.8000000000000001E-2</v>
      </c>
      <c r="AD27" s="27">
        <f t="shared" si="8"/>
        <v>1.3999999999999999E-2</v>
      </c>
      <c r="AE27" s="27">
        <f t="shared" si="9"/>
        <v>1.4999999999999996E-2</v>
      </c>
      <c r="AF27" s="27">
        <f t="shared" si="16"/>
        <v>1.4032258064516125</v>
      </c>
      <c r="AG27" s="53">
        <f t="shared" si="11"/>
        <v>0.14032258064516126</v>
      </c>
      <c r="AH27" s="27">
        <f>271.8-224.4</f>
        <v>47.400000000000006</v>
      </c>
      <c r="AI27" s="28">
        <f t="shared" si="12"/>
        <v>2.9603919967333594</v>
      </c>
      <c r="AL27" s="16" t="s">
        <v>169</v>
      </c>
      <c r="AM27" s="28">
        <f t="shared" si="13"/>
        <v>3.0767223856438384</v>
      </c>
      <c r="AN27" s="28">
        <f t="shared" si="14"/>
        <v>0.23888276331026045</v>
      </c>
    </row>
    <row r="28" spans="1:40" ht="15.6" customHeight="1" x14ac:dyDescent="0.25">
      <c r="A28" s="17" t="s">
        <v>170</v>
      </c>
      <c r="B28" s="27">
        <v>4.5999999999999999E-2</v>
      </c>
      <c r="C28" s="27">
        <v>0.05</v>
      </c>
      <c r="D28" s="27">
        <v>2.8000000000000001E-2</v>
      </c>
      <c r="E28" s="27">
        <v>3.3000000000000002E-2</v>
      </c>
      <c r="F28" s="27">
        <f t="shared" si="0"/>
        <v>1.7999999999999999E-2</v>
      </c>
      <c r="G28" s="27">
        <f t="shared" si="0"/>
        <v>1.7000000000000001E-2</v>
      </c>
      <c r="H28" s="27">
        <f t="shared" si="1"/>
        <v>1.6935483870967745</v>
      </c>
      <c r="I28" s="27">
        <f t="shared" si="2"/>
        <v>0.16935483870967744</v>
      </c>
      <c r="J28" s="27">
        <f>258.2-209.2</f>
        <v>49</v>
      </c>
      <c r="K28" s="54">
        <f t="shared" si="15"/>
        <v>3.4562211981566824</v>
      </c>
      <c r="M28" s="17" t="s">
        <v>170</v>
      </c>
      <c r="N28" s="27">
        <v>4.8000000000000001E-2</v>
      </c>
      <c r="O28" s="27">
        <v>5.1999999999999998E-2</v>
      </c>
      <c r="P28" s="27">
        <v>3.2000000000000001E-2</v>
      </c>
      <c r="Q28" s="27">
        <v>3.3000000000000002E-2</v>
      </c>
      <c r="R28" s="27">
        <f t="shared" si="4"/>
        <v>1.6E-2</v>
      </c>
      <c r="S28" s="27">
        <f t="shared" si="4"/>
        <v>1.8999999999999996E-2</v>
      </c>
      <c r="T28" s="27">
        <f t="shared" si="5"/>
        <v>1.693548387096774</v>
      </c>
      <c r="U28" s="53">
        <f t="shared" si="6"/>
        <v>0.16935483870967741</v>
      </c>
      <c r="V28" s="27">
        <f>271.3-223.2</f>
        <v>48.100000000000023</v>
      </c>
      <c r="W28" s="54">
        <f t="shared" si="7"/>
        <v>3.5208906176648092</v>
      </c>
      <c r="Y28" s="17" t="s">
        <v>170</v>
      </c>
      <c r="Z28" s="27">
        <v>4.2999999999999997E-2</v>
      </c>
      <c r="AA28" s="27">
        <v>5.2999999999999999E-2</v>
      </c>
      <c r="AB28" s="27">
        <v>3.1E-2</v>
      </c>
      <c r="AC28" s="27">
        <v>3.4000000000000002E-2</v>
      </c>
      <c r="AD28" s="27">
        <f t="shared" si="8"/>
        <v>1.1999999999999997E-2</v>
      </c>
      <c r="AE28" s="27">
        <f t="shared" si="9"/>
        <v>1.8999999999999996E-2</v>
      </c>
      <c r="AF28" s="27">
        <f t="shared" si="16"/>
        <v>1.4999999999999996</v>
      </c>
      <c r="AG28" s="53">
        <f t="shared" si="11"/>
        <v>0.14999999999999997</v>
      </c>
      <c r="AH28" s="27">
        <f>261.3-223.2</f>
        <v>38.100000000000023</v>
      </c>
      <c r="AI28" s="28">
        <f t="shared" si="12"/>
        <v>3.937007874015745</v>
      </c>
      <c r="AL28" s="17" t="s">
        <v>170</v>
      </c>
      <c r="AM28" s="28">
        <f t="shared" si="13"/>
        <v>3.6380398966124119</v>
      </c>
      <c r="AN28" s="28">
        <f t="shared" si="14"/>
        <v>0.26092512736292633</v>
      </c>
    </row>
    <row r="29" spans="1:40" ht="16.899999999999999" customHeight="1" x14ac:dyDescent="0.25">
      <c r="A29" s="17" t="s">
        <v>171</v>
      </c>
      <c r="B29" s="27">
        <v>5.0999999999999997E-2</v>
      </c>
      <c r="C29" s="27">
        <v>6.8000000000000005E-2</v>
      </c>
      <c r="D29" s="27">
        <v>2.8000000000000001E-2</v>
      </c>
      <c r="E29" s="27">
        <v>3.5000000000000003E-2</v>
      </c>
      <c r="F29" s="27">
        <f t="shared" si="0"/>
        <v>2.2999999999999996E-2</v>
      </c>
      <c r="G29" s="27">
        <f t="shared" si="0"/>
        <v>3.3000000000000002E-2</v>
      </c>
      <c r="H29" s="27">
        <f t="shared" si="1"/>
        <v>2.7096774193548385</v>
      </c>
      <c r="I29" s="27">
        <f t="shared" si="2"/>
        <v>0.27096774193548384</v>
      </c>
      <c r="J29" s="27">
        <f>250-194.9</f>
        <v>55.099999999999994</v>
      </c>
      <c r="K29" s="54">
        <f t="shared" si="15"/>
        <v>4.9177448627129561</v>
      </c>
      <c r="M29" s="17" t="s">
        <v>171</v>
      </c>
      <c r="N29" s="27">
        <v>5.0999999999999997E-2</v>
      </c>
      <c r="O29" s="27">
        <v>5.7000000000000002E-2</v>
      </c>
      <c r="P29" s="27">
        <v>2.8000000000000001E-2</v>
      </c>
      <c r="Q29" s="27">
        <v>3.5000000000000003E-2</v>
      </c>
      <c r="R29" s="27">
        <f t="shared" si="4"/>
        <v>2.2999999999999996E-2</v>
      </c>
      <c r="S29" s="27">
        <f t="shared" si="4"/>
        <v>2.1999999999999999E-2</v>
      </c>
      <c r="T29" s="27">
        <f t="shared" si="5"/>
        <v>2.1774193548387095</v>
      </c>
      <c r="U29" s="53">
        <f t="shared" si="6"/>
        <v>0.21774193548387094</v>
      </c>
      <c r="V29" s="27">
        <f>270.1-216.3</f>
        <v>53.800000000000011</v>
      </c>
      <c r="W29" s="54">
        <f t="shared" si="7"/>
        <v>4.0472478714474143</v>
      </c>
      <c r="Y29" s="17" t="s">
        <v>171</v>
      </c>
      <c r="Z29" s="27">
        <v>6.3E-2</v>
      </c>
      <c r="AA29" s="27">
        <v>5.8000000000000003E-2</v>
      </c>
      <c r="AB29" s="27">
        <v>2.7E-2</v>
      </c>
      <c r="AC29" s="27">
        <v>3.5999999999999997E-2</v>
      </c>
      <c r="AD29" s="27">
        <f t="shared" si="8"/>
        <v>3.6000000000000004E-2</v>
      </c>
      <c r="AE29" s="27">
        <f t="shared" si="9"/>
        <v>2.2000000000000006E-2</v>
      </c>
      <c r="AF29" s="27">
        <f t="shared" si="16"/>
        <v>2.806451612903226</v>
      </c>
      <c r="AG29" s="53">
        <f t="shared" si="11"/>
        <v>0.28064516129032258</v>
      </c>
      <c r="AH29" s="27">
        <f>272.1-216.3</f>
        <v>55.800000000000011</v>
      </c>
      <c r="AI29" s="28">
        <f t="shared" si="12"/>
        <v>5.0294831772459228</v>
      </c>
      <c r="AL29" s="17" t="s">
        <v>171</v>
      </c>
      <c r="AM29" s="28">
        <f t="shared" si="13"/>
        <v>4.6648253038020977</v>
      </c>
      <c r="AN29" s="28">
        <f t="shared" si="14"/>
        <v>0.53774787442538508</v>
      </c>
    </row>
    <row r="30" spans="1:40" x14ac:dyDescent="0.25">
      <c r="A30" s="17" t="s">
        <v>172</v>
      </c>
      <c r="B30" s="27">
        <v>5.1999999999999998E-2</v>
      </c>
      <c r="C30" s="27">
        <v>5.3999999999999999E-2</v>
      </c>
      <c r="D30" s="27">
        <v>3.1E-2</v>
      </c>
      <c r="E30" s="27">
        <v>3.3000000000000002E-2</v>
      </c>
      <c r="F30" s="27">
        <f t="shared" si="0"/>
        <v>2.0999999999999998E-2</v>
      </c>
      <c r="G30" s="27">
        <f t="shared" si="0"/>
        <v>2.0999999999999998E-2</v>
      </c>
      <c r="H30" s="27">
        <f t="shared" si="1"/>
        <v>2.032258064516129</v>
      </c>
      <c r="I30" s="27">
        <f t="shared" si="2"/>
        <v>0.20322580645161289</v>
      </c>
      <c r="J30" s="27">
        <f>257.2-202.8</f>
        <v>54.399999999999977</v>
      </c>
      <c r="K30" s="54">
        <f t="shared" si="15"/>
        <v>3.735768500948768</v>
      </c>
      <c r="M30" s="17" t="s">
        <v>172</v>
      </c>
      <c r="N30" s="27">
        <v>5.2999999999999999E-2</v>
      </c>
      <c r="O30" s="27">
        <v>5.5E-2</v>
      </c>
      <c r="P30" s="27">
        <v>3.1E-2</v>
      </c>
      <c r="Q30" s="27">
        <v>3.1E-2</v>
      </c>
      <c r="R30" s="27">
        <f t="shared" si="4"/>
        <v>2.1999999999999999E-2</v>
      </c>
      <c r="S30" s="27">
        <f t="shared" si="4"/>
        <v>2.4E-2</v>
      </c>
      <c r="T30" s="27">
        <f t="shared" si="5"/>
        <v>2.225806451612903</v>
      </c>
      <c r="U30" s="53">
        <f t="shared" si="6"/>
        <v>0.22258064516129031</v>
      </c>
      <c r="V30" s="27">
        <f>274-223.1</f>
        <v>50.900000000000006</v>
      </c>
      <c r="W30" s="54">
        <f t="shared" si="7"/>
        <v>4.3729006907915577</v>
      </c>
      <c r="Y30" s="17" t="s">
        <v>172</v>
      </c>
      <c r="Z30" s="27">
        <v>4.5999999999999999E-2</v>
      </c>
      <c r="AA30" s="27">
        <v>5.5E-2</v>
      </c>
      <c r="AB30" s="27">
        <v>3.2000000000000001E-2</v>
      </c>
      <c r="AC30" s="27">
        <v>3.1E-2</v>
      </c>
      <c r="AD30" s="27">
        <f t="shared" si="8"/>
        <v>1.3999999999999999E-2</v>
      </c>
      <c r="AE30" s="27">
        <f t="shared" si="9"/>
        <v>2.4E-2</v>
      </c>
      <c r="AF30" s="27">
        <f t="shared" si="16"/>
        <v>1.838709677419355</v>
      </c>
      <c r="AG30" s="53">
        <f t="shared" si="11"/>
        <v>0.18387096774193551</v>
      </c>
      <c r="AH30" s="27">
        <f>276-223.1</f>
        <v>52.900000000000006</v>
      </c>
      <c r="AI30" s="28">
        <f t="shared" si="12"/>
        <v>3.4758216964449056</v>
      </c>
      <c r="AL30" s="17" t="s">
        <v>172</v>
      </c>
      <c r="AM30" s="28">
        <f t="shared" si="13"/>
        <v>3.8614969627284101</v>
      </c>
      <c r="AN30" s="28">
        <f t="shared" si="14"/>
        <v>0.46156626295755893</v>
      </c>
    </row>
    <row r="31" spans="1:40" x14ac:dyDescent="0.25">
      <c r="A31" s="17" t="s">
        <v>173</v>
      </c>
      <c r="B31" s="27">
        <v>5.6000000000000001E-2</v>
      </c>
      <c r="C31" s="27">
        <v>5.3999999999999999E-2</v>
      </c>
      <c r="D31" s="27">
        <v>3.3000000000000002E-2</v>
      </c>
      <c r="E31" s="27">
        <v>2.9000000000000001E-2</v>
      </c>
      <c r="F31" s="27">
        <f t="shared" si="0"/>
        <v>2.3E-2</v>
      </c>
      <c r="G31" s="27">
        <f t="shared" si="0"/>
        <v>2.4999999999999998E-2</v>
      </c>
      <c r="H31" s="27">
        <f t="shared" si="1"/>
        <v>2.32258064516129</v>
      </c>
      <c r="I31" s="27">
        <f t="shared" si="2"/>
        <v>0.23225806451612901</v>
      </c>
      <c r="J31" s="27">
        <f>264-204.8</f>
        <v>59.199999999999989</v>
      </c>
      <c r="K31" s="54">
        <f t="shared" si="15"/>
        <v>3.9232781168265047</v>
      </c>
      <c r="M31" s="17" t="s">
        <v>173</v>
      </c>
      <c r="N31" s="27">
        <v>5.8000000000000003E-2</v>
      </c>
      <c r="O31" s="27">
        <v>5.2999999999999999E-2</v>
      </c>
      <c r="P31" s="27">
        <v>3.3000000000000002E-2</v>
      </c>
      <c r="Q31" s="27">
        <v>2.9000000000000001E-2</v>
      </c>
      <c r="R31" s="27">
        <f t="shared" si="4"/>
        <v>2.5000000000000001E-2</v>
      </c>
      <c r="S31" s="27">
        <f t="shared" si="4"/>
        <v>2.3999999999999997E-2</v>
      </c>
      <c r="T31" s="27">
        <f t="shared" si="5"/>
        <v>2.370967741935484</v>
      </c>
      <c r="U31" s="53">
        <f t="shared" si="6"/>
        <v>0.23709677419354841</v>
      </c>
      <c r="V31" s="27">
        <f>276.1-218.4</f>
        <v>57.700000000000017</v>
      </c>
      <c r="W31" s="54">
        <f t="shared" si="7"/>
        <v>4.1091295354167823</v>
      </c>
      <c r="Y31" s="17" t="s">
        <v>173</v>
      </c>
      <c r="Z31" s="27">
        <v>5.8000000000000003E-2</v>
      </c>
      <c r="AA31" s="27">
        <v>5.3999999999999999E-2</v>
      </c>
      <c r="AB31" s="27">
        <v>3.3000000000000002E-2</v>
      </c>
      <c r="AC31" s="27">
        <v>3.1E-2</v>
      </c>
      <c r="AD31" s="27">
        <f t="shared" si="8"/>
        <v>2.5000000000000001E-2</v>
      </c>
      <c r="AE31" s="27">
        <f t="shared" si="9"/>
        <v>2.3E-2</v>
      </c>
      <c r="AF31" s="27">
        <f t="shared" si="16"/>
        <v>2.32258064516129</v>
      </c>
      <c r="AG31" s="53">
        <f t="shared" si="11"/>
        <v>0.23225806451612901</v>
      </c>
      <c r="AH31" s="27">
        <f>278.1-218.4</f>
        <v>59.700000000000017</v>
      </c>
      <c r="AI31" s="28">
        <f t="shared" si="12"/>
        <v>3.8904198411411888</v>
      </c>
      <c r="AL31" s="17" t="s">
        <v>173</v>
      </c>
      <c r="AM31" s="28">
        <f t="shared" si="13"/>
        <v>3.9742758311281583</v>
      </c>
      <c r="AN31" s="28">
        <f t="shared" si="14"/>
        <v>0.11793666834587845</v>
      </c>
    </row>
    <row r="32" spans="1:40" x14ac:dyDescent="0.25">
      <c r="B32" s="34"/>
      <c r="C32" s="34"/>
      <c r="D32" s="34"/>
      <c r="E32" s="34"/>
      <c r="F32" s="34"/>
      <c r="G32" s="34"/>
      <c r="H32" s="34"/>
      <c r="I32" s="34"/>
      <c r="J32" s="34"/>
      <c r="K32" s="34"/>
      <c r="N32" s="34"/>
      <c r="O32" s="34"/>
      <c r="P32" s="34"/>
      <c r="Q32" s="34"/>
      <c r="R32" s="34"/>
      <c r="S32" s="34"/>
      <c r="T32" s="34"/>
      <c r="U32" s="34"/>
      <c r="V32" s="34"/>
      <c r="W32" s="34"/>
    </row>
    <row r="33" spans="14:23" x14ac:dyDescent="0.25">
      <c r="N33" s="34"/>
      <c r="O33" s="34"/>
      <c r="P33" s="34"/>
      <c r="Q33" s="34"/>
      <c r="R33" s="34"/>
      <c r="S33" s="34"/>
      <c r="T33" s="34"/>
      <c r="U33" s="34"/>
      <c r="V33" s="34"/>
      <c r="W33" s="3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11</vt:i4>
      </vt:variant>
    </vt:vector>
  </HeadingPairs>
  <TitlesOfParts>
    <vt:vector size="11" baseType="lpstr">
      <vt:lpstr>Spores</vt:lpstr>
      <vt:lpstr>Biomass_Zn_Cu</vt:lpstr>
      <vt:lpstr>MET degradation</vt:lpstr>
      <vt:lpstr>Biomass</vt:lpstr>
      <vt:lpstr>Ergosterol</vt:lpstr>
      <vt:lpstr>catalase</vt:lpstr>
      <vt:lpstr>SOD</vt:lpstr>
      <vt:lpstr>Proteins</vt:lpstr>
      <vt:lpstr>TBARS</vt:lpstr>
      <vt:lpstr>Phospholipids</vt:lpstr>
      <vt:lpstr>Permeability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Tomasz</dc:creator>
  <cp:lastModifiedBy>Przemysław Bernat</cp:lastModifiedBy>
  <dcterms:created xsi:type="dcterms:W3CDTF">2026-04-13T07:12:39Z</dcterms:created>
  <dcterms:modified xsi:type="dcterms:W3CDTF">2026-04-26T18:58:43Z</dcterms:modified>
</cp:coreProperties>
</file>